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2\FPL38\Modificación No. 02\"/>
    </mc:Choice>
  </mc:AlternateContent>
  <bookViews>
    <workbookView xWindow="0" yWindow="0" windowWidth="20490" windowHeight="7455" tabRatio="619"/>
  </bookViews>
  <sheets>
    <sheet name="POAI 2022" sheetId="4" r:id="rId1"/>
  </sheets>
  <externalReferences>
    <externalReference r:id="rId2"/>
  </externalReferences>
  <definedNames>
    <definedName name="_xlnm._FilterDatabase" localSheetId="0" hidden="1">'POAI 2022'!$A$6:$AR$18</definedName>
    <definedName name="_xlnm.Print_Area" localSheetId="0">'POAI 2022'!$A$1:$AR$20</definedName>
    <definedName name="_xlnm.Print_Titles" localSheetId="0">'POAI 2022'!$B:$C,'POAI 2022'!$5:$6</definedName>
  </definedNames>
  <calcPr calcId="152511"/>
</workbook>
</file>

<file path=xl/calcChain.xml><?xml version="1.0" encoding="utf-8"?>
<calcChain xmlns="http://schemas.openxmlformats.org/spreadsheetml/2006/main">
  <c r="AC18" i="4" l="1"/>
  <c r="AQ10" i="4" l="1"/>
  <c r="AQ18" i="4" s="1"/>
  <c r="AO10" i="4"/>
  <c r="AO18" i="4" s="1"/>
  <c r="AB17" i="4"/>
  <c r="AB15" i="4"/>
  <c r="AB14" i="4"/>
  <c r="AB11" i="4"/>
  <c r="AB10" i="4"/>
  <c r="AB9" i="4"/>
  <c r="AB8" i="4"/>
  <c r="J14" i="4"/>
  <c r="J18" i="4" s="1"/>
  <c r="AI16" i="4"/>
  <c r="AI15" i="4"/>
  <c r="AI18" i="4" s="1"/>
  <c r="Z16" i="4"/>
  <c r="Z15" i="4"/>
  <c r="Z9" i="4"/>
  <c r="W16" i="4"/>
  <c r="W15" i="4"/>
  <c r="W14" i="4"/>
  <c r="W13" i="4"/>
  <c r="W12" i="4"/>
  <c r="W11" i="4"/>
  <c r="W10" i="4"/>
  <c r="W9" i="4"/>
  <c r="W8" i="4"/>
  <c r="P16" i="4"/>
  <c r="P9" i="4"/>
  <c r="P18" i="4" s="1"/>
  <c r="S18" i="4"/>
  <c r="AG14" i="4"/>
  <c r="AG18" i="4" s="1"/>
  <c r="AM16" i="4"/>
  <c r="AM13" i="4"/>
  <c r="AB18" i="4" l="1"/>
  <c r="Z18" i="4"/>
  <c r="W18" i="4"/>
  <c r="AM18" i="4"/>
  <c r="O18" i="4"/>
  <c r="AL12" i="4"/>
  <c r="AL18" i="4" s="1"/>
  <c r="AA18" i="4"/>
  <c r="Y18" i="4"/>
  <c r="V9" i="4"/>
  <c r="V18" i="4" s="1"/>
  <c r="X16" i="4" l="1"/>
  <c r="L7" i="4" l="1"/>
  <c r="E7" i="4" s="1"/>
  <c r="AP18" i="4" l="1"/>
  <c r="AN18" i="4"/>
  <c r="AK18" i="4"/>
  <c r="AH18" i="4"/>
  <c r="AF18" i="4"/>
  <c r="AD18" i="4"/>
  <c r="U18" i="4"/>
  <c r="R18" i="4"/>
  <c r="Q18" i="4"/>
  <c r="N18" i="4"/>
  <c r="K18" i="4"/>
  <c r="I18" i="4"/>
  <c r="H18" i="4"/>
  <c r="G18" i="4"/>
  <c r="F18" i="4"/>
  <c r="T17" i="4"/>
  <c r="E17" i="4" s="1"/>
  <c r="T16" i="4"/>
  <c r="M16" i="4"/>
  <c r="T15" i="4"/>
  <c r="E15" i="4" s="1"/>
  <c r="AE14" i="4"/>
  <c r="AE18" i="4" s="1"/>
  <c r="T14" i="4"/>
  <c r="T13" i="4"/>
  <c r="E13" i="4" s="1"/>
  <c r="AJ12" i="4"/>
  <c r="T12" i="4"/>
  <c r="T11" i="4"/>
  <c r="E11" i="4" s="1"/>
  <c r="T10" i="4"/>
  <c r="E10" i="4" s="1"/>
  <c r="X9" i="4"/>
  <c r="T9" i="4"/>
  <c r="E9" i="4" s="1"/>
  <c r="AJ8" i="4"/>
  <c r="T8" i="4"/>
  <c r="L18" i="4"/>
  <c r="E8" i="4" l="1"/>
  <c r="E14" i="4"/>
  <c r="E12" i="4"/>
  <c r="M18" i="4"/>
  <c r="E16" i="4"/>
  <c r="X18" i="4"/>
  <c r="T18" i="4"/>
  <c r="AJ18" i="4"/>
  <c r="E18" i="4" l="1"/>
</calcChain>
</file>

<file path=xl/sharedStrings.xml><?xml version="1.0" encoding="utf-8"?>
<sst xmlns="http://schemas.openxmlformats.org/spreadsheetml/2006/main" count="82" uniqueCount="75">
  <si>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</si>
  <si>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</si>
  <si>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</si>
  <si>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</si>
  <si>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</si>
  <si>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</si>
  <si>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</si>
  <si>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ASIGNACIÓN AÑO 2022</t>
  </si>
  <si>
    <t>Recursos F.B.S.L.
(2702)</t>
  </si>
  <si>
    <t>F.C aporte para el FBSL
(1010)</t>
  </si>
  <si>
    <t>F.C inversión aporte para el FBSL
(1011)</t>
  </si>
  <si>
    <t>Aportes ordinarios departamento
(1010)</t>
  </si>
  <si>
    <t>Aportes ordinarios departamento
(2052)</t>
  </si>
  <si>
    <t>Estampilla Poli - Rionegro
(2706)</t>
  </si>
  <si>
    <t>REND. FONDOS ESPEC. EST. POLITECNICA RIONEG</t>
  </si>
  <si>
    <t>Estampilla Poli - Girardota
(2714)</t>
  </si>
  <si>
    <t>REND. ESTAMPILLA GIRARDOTA</t>
  </si>
  <si>
    <t>Estampilla Politécnico
(2705)</t>
  </si>
  <si>
    <t>REND. FONDOS ESPEC. EST. POLITECNICA</t>
  </si>
  <si>
    <t>Estampilla Prodesarrollo de Antioquia 
(2020)</t>
  </si>
  <si>
    <t>REND. FONDOS ESPEC. EST. PRODESARROLLO</t>
  </si>
  <si>
    <t>Devolución I.V.A.
(2710)</t>
  </si>
  <si>
    <t>REND. FONDOS ESPEC. DEVOLUCION I.V.A.</t>
  </si>
  <si>
    <t>Excedentes de Extensión 
(2710)</t>
  </si>
  <si>
    <t>Administración de Convenios
(4400)</t>
  </si>
  <si>
    <t>REND. FONDOS ESPEC. APARTADÓ (2701)</t>
  </si>
  <si>
    <t xml:space="preserve">REND. FONDOS ESPEC. RIONEGRO
(2704) 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</si>
  <si>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</si>
  <si>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</si>
  <si>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</si>
  <si>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</si>
  <si>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</si>
  <si>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</si>
  <si>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</si>
  <si>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</si>
  <si>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</si>
  <si>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</si>
  <si>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</si>
  <si>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</si>
  <si>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</si>
  <si>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</si>
  <si>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</si>
  <si>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</si>
  <si>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</si>
  <si>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</si>
  <si>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</si>
  <si>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</si>
  <si>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</si>
  <si>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PLAN OPERATIVO ANUAL DE INVERSIONES - POAI 
VIGENCIA 2022</t>
  </si>
  <si>
    <t>TOTAL POAI</t>
  </si>
  <si>
    <t>FUENTES DE INVERSIÓN PROGRAMADA 2022</t>
  </si>
  <si>
    <t>REND. FONDOS ESPEC. F.B.S.L.
(2702)</t>
  </si>
  <si>
    <t>Fortalecimiento de la gestión institucional y la infraestructura física de la sede y centros regionales del Politécnico Colombiano Jaime Isaza Cadavid en Medellín, Bello, Rionegro, Apartadó, Marinilla, San Jerónimo</t>
  </si>
  <si>
    <t>Estampilla Politécnico
(2705)
Reservas</t>
  </si>
  <si>
    <t>Estampilla Prodesarrollo de Antioquia 
(2020)
Reservas</t>
  </si>
  <si>
    <t>Recursos MEN PFC
(2715)
Reservas</t>
  </si>
  <si>
    <t>Administración de Convenios
(4400)
Reservas</t>
  </si>
  <si>
    <t>Estampilla Poli - Rionegro
(2706)
Reservas</t>
  </si>
  <si>
    <t>Estampilla Prodesarrollo de Antioquia 
(2020)
Balance</t>
  </si>
  <si>
    <t>Administración de Convenios
(4400)
Balance</t>
  </si>
  <si>
    <t>Devolución I.V.A.
(2710)
Balance</t>
  </si>
  <si>
    <t>Estampilla Poli - Girardota
(2714)
Balance</t>
  </si>
  <si>
    <t>Estampilla Poli - Rionegro
(2706)
Balance</t>
  </si>
  <si>
    <t>Estampilla Politécnico
(2705)
Balance</t>
  </si>
  <si>
    <t>Recursos CREE (Rendimientos 2022)
(2707)</t>
  </si>
  <si>
    <t>Recursos CREE 
(2707)
Balance</t>
  </si>
  <si>
    <t>REND. FONDOS ESPEC. F.B.S.L.
(2702)
Balance</t>
  </si>
  <si>
    <t>Recursos MEN PFC
(2715)
Balance</t>
  </si>
  <si>
    <t>REND. FONDOS ESPEC. APARTADÓ (2701)
Balance</t>
  </si>
  <si>
    <t>REND. FONDOS ESPEC. RIONEGRO
(2704) 
Balance</t>
  </si>
  <si>
    <t>COORDINACIÓN BIBLIOTECA
COORDINACIÓN ARCHIVO Y CORRESPONDENCIA
DIRECCIÓN DE GRANJAS Y LABORATORIOS</t>
  </si>
  <si>
    <t>VICERRECTORÍA DE DOCENCIA E INVESTIGACIÓN
DIRECCIÓN DE REGIONALIZACIÓN
FACULTAD DE CIENCIAS BÁSICAS, SOCIALES Y HUMANAS</t>
  </si>
  <si>
    <t>FACULTAD DE EDUCACIÓN FÍSICA, RECREACIÓN Y DEPORTES
DIRECCIÓN DE FOMENTO CULTURAL
DIRECCIÓN DE BIENESTAR INSTITUCIONAL
COORDINACIÓN DE DESARROLLO LABORAL</t>
  </si>
  <si>
    <t>OFICINA ASESORA DE PLANEACIÓN
DIRECCIÓN DE SERVICIOS GENERALES</t>
  </si>
  <si>
    <t>Recursos MEN PFC
(2715)
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</si>
</sst>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/>
    <xf numFmtId="9" fontId="9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/>
    <xf numFmtId="0" fontId="2" fillId="0" borderId="0" xfId="7" applyAlignment="1">
      <alignment horizontal="center"/>
    </xf>
    <xf numFmtId="0" fontId="2" fillId="0" borderId="0" xfId="7" applyAlignment="1">
      <alignment horizontal="center" vertical="center" wrapText="1"/>
    </xf>
    <xf numFmtId="167" fontId="2" fillId="0" borderId="0" xfId="7" applyNumberFormat="1"/>
    <xf numFmtId="167" fontId="8" fillId="0" borderId="0" xfId="7" applyNumberFormat="1" applyFont="1" applyFill="1" applyBorder="1" applyAlignment="1">
      <alignment horizontal="center" vertical="center"/>
    </xf>
    <xf numFmtId="167" fontId="2" fillId="0" borderId="0" xfId="7" applyNumberFormat="1" applyBorder="1"/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/>
    <xf numFmtId="167" fontId="12" fillId="0" borderId="1" xfId="2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7" fontId="12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7" fontId="1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67" fontId="12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left" vertical="center" wrapText="1"/>
    </xf>
    <xf numFmtId="167" fontId="14" fillId="0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164" fontId="14" fillId="0" borderId="1" xfId="7" applyNumberFormat="1" applyFont="1" applyFill="1" applyBorder="1" applyAlignment="1">
      <alignment horizontal="left" vertical="center" wrapText="1"/>
    </xf>
    <xf numFmtId="164" fontId="14" fillId="0" borderId="1" xfId="7" applyNumberFormat="1" applyFont="1" applyFill="1" applyBorder="1" applyAlignment="1">
      <alignment horizontal="center" vertical="center" wrapText="1"/>
    </xf>
    <xf numFmtId="167" fontId="14" fillId="0" borderId="1" xfId="7" applyNumberFormat="1" applyFont="1" applyFill="1" applyBorder="1" applyAlignment="1">
      <alignment horizontal="center" vertical="center" wrapText="1"/>
    </xf>
    <xf numFmtId="49" fontId="14" fillId="0" borderId="1" xfId="7" applyNumberFormat="1" applyFont="1" applyFill="1" applyBorder="1" applyAlignment="1">
      <alignment horizontal="left" vertical="center" wrapText="1"/>
    </xf>
    <xf numFmtId="49" fontId="14" fillId="0" borderId="1" xfId="7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167" fontId="17" fillId="5" borderId="1" xfId="7" applyNumberFormat="1" applyFont="1" applyFill="1" applyBorder="1" applyAlignment="1">
      <alignment horizontal="center" vertical="center"/>
    </xf>
    <xf numFmtId="0" fontId="13" fillId="6" borderId="1" xfId="7" applyFont="1" applyFill="1" applyBorder="1" applyAlignment="1">
      <alignment horizontal="center" vertical="center" wrapText="1"/>
    </xf>
    <xf numFmtId="167" fontId="12" fillId="6" borderId="1" xfId="7" applyNumberFormat="1" applyFont="1" applyFill="1" applyBorder="1" applyAlignment="1">
      <alignment vertical="center"/>
    </xf>
    <xf numFmtId="167" fontId="17" fillId="6" borderId="1" xfId="7" applyNumberFormat="1" applyFont="1" applyFill="1" applyBorder="1" applyAlignment="1">
      <alignment horizontal="center" vertical="center"/>
    </xf>
    <xf numFmtId="167" fontId="12" fillId="0" borderId="1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7" fontId="16" fillId="3" borderId="12" xfId="7" applyNumberFormat="1" applyFont="1" applyFill="1" applyBorder="1" applyAlignment="1">
      <alignment horizontal="center" vertical="center" wrapText="1"/>
    </xf>
    <xf numFmtId="167" fontId="16" fillId="3" borderId="2" xfId="7" applyNumberFormat="1" applyFont="1" applyFill="1" applyBorder="1" applyAlignment="1">
      <alignment horizontal="center" vertical="center" wrapText="1"/>
    </xf>
    <xf numFmtId="0" fontId="16" fillId="4" borderId="12" xfId="7" applyFont="1" applyFill="1" applyBorder="1" applyAlignment="1">
      <alignment horizontal="center" vertical="center" wrapText="1"/>
    </xf>
    <xf numFmtId="0" fontId="16" fillId="4" borderId="2" xfId="7" applyFont="1" applyFill="1" applyBorder="1" applyAlignment="1">
      <alignment horizontal="center" vertical="center" wrapText="1"/>
    </xf>
    <xf numFmtId="0" fontId="16" fillId="5" borderId="14" xfId="7" applyFont="1" applyFill="1" applyBorder="1" applyAlignment="1">
      <alignment horizontal="center" vertical="center" wrapText="1"/>
    </xf>
    <xf numFmtId="0" fontId="16" fillId="5" borderId="5" xfId="7" applyFont="1" applyFill="1" applyBorder="1" applyAlignment="1">
      <alignment horizontal="center" vertical="center" wrapText="1"/>
    </xf>
    <xf numFmtId="0" fontId="16" fillId="5" borderId="6" xfId="7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49357</xdr:colOff>
      <xdr:row>17</xdr:row>
      <xdr:rowOff>22812</xdr:rowOff>
    </xdr:from>
    <xdr:to>
      <xdr:col>43</xdr:col>
      <xdr:colOff>971550</xdr:colOff>
      <xdr:row>19</xdr:row>
      <xdr:rowOff>114289</xdr:rowOff>
    </xdr:to>
    <xdr:pic>
      <xdr:nvPicPr>
        <xdr:cNvPr id="4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6632" y="15329487"/>
          <a:ext cx="922193" cy="748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.%20A%20TRABAJADOS%20DONDE%20JUAN/POAI%202022/FPL38%20PLAN%20OPERATIVO%20ANUAL%20DE%20INVERSIONES%20-%20POAI%20Inicial%202022%20-%20Por%20componente%20interno%20-%20V3%20Techos%20G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1 PCJIC"/>
    </sheetNames>
    <sheetDataSet>
      <sheetData sheetId="0">
        <row r="7">
          <cell r="V7">
            <v>16730258172</v>
          </cell>
        </row>
        <row r="8">
          <cell r="V8">
            <v>7369924404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R22"/>
  <sheetViews>
    <sheetView showGridLines="0" tabSelected="1" zoomScaleNormal="100" zoomScalePageLayoutView="5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27" sqref="E27"/>
    </sheetView>
  </sheetViews>
  <sheetFormatPr baseColWidth="10" defaultRowHeight="12.75" x14ac:dyDescent="0.2"/>
  <cols>
    <col min="1" max="1" width="4.7109375" style="1" bestFit="1" customWidth="1"/>
    <col min="2" max="2" width="23" style="2" customWidth="1"/>
    <col min="3" max="3" width="14.140625" style="2" customWidth="1"/>
    <col min="4" max="4" width="14.5703125" style="2" customWidth="1"/>
    <col min="5" max="5" width="16.140625" style="19" customWidth="1"/>
    <col min="6" max="6" width="13.7109375" style="4" customWidth="1"/>
    <col min="7" max="7" width="12.7109375" style="2" customWidth="1"/>
    <col min="8" max="8" width="11.42578125" style="5" customWidth="1"/>
    <col min="9" max="9" width="11" style="2" customWidth="1"/>
    <col min="10" max="10" width="14.140625" style="2" customWidth="1"/>
    <col min="11" max="11" width="14.5703125" style="2" customWidth="1"/>
    <col min="12" max="12" width="14.7109375" style="2" customWidth="1"/>
    <col min="13" max="13" width="13.7109375" style="2" customWidth="1"/>
    <col min="14" max="14" width="11.28515625" style="2" customWidth="1"/>
    <col min="15" max="15" width="12.28515625" style="2" customWidth="1"/>
    <col min="16" max="16" width="14" style="2" customWidth="1"/>
    <col min="17" max="17" width="11" style="2" customWidth="1"/>
    <col min="18" max="18" width="9" style="2" customWidth="1"/>
    <col min="19" max="19" width="11" style="2" customWidth="1"/>
    <col min="20" max="20" width="13.5703125" style="2" customWidth="1"/>
    <col min="21" max="21" width="11.140625" style="2" customWidth="1"/>
    <col min="22" max="22" width="13.140625" style="2" customWidth="1"/>
    <col min="23" max="23" width="14.7109375" style="2" customWidth="1"/>
    <col min="24" max="24" width="13.85546875" style="2" customWidth="1"/>
    <col min="25" max="25" width="12.140625" style="2" customWidth="1"/>
    <col min="26" max="26" width="14.42578125" style="2" customWidth="1"/>
    <col min="27" max="27" width="12.140625" style="2" customWidth="1"/>
    <col min="28" max="29" width="13.7109375" style="2" customWidth="1"/>
    <col min="30" max="30" width="11.140625" style="2" customWidth="1"/>
    <col min="31" max="31" width="12.28515625" style="2" customWidth="1"/>
    <col min="32" max="32" width="10.42578125" style="2" customWidth="1"/>
    <col min="33" max="33" width="12.85546875" style="2" customWidth="1"/>
    <col min="34" max="34" width="12" style="2" customWidth="1"/>
    <col min="35" max="35" width="14.28515625" style="2" customWidth="1"/>
    <col min="36" max="36" width="12" style="2" customWidth="1"/>
    <col min="37" max="39" width="14.5703125" style="2" customWidth="1"/>
    <col min="40" max="41" width="8.42578125" style="2" customWidth="1"/>
    <col min="42" max="43" width="8.7109375" style="2" customWidth="1"/>
    <col min="44" max="44" width="15.140625" style="2" bestFit="1" customWidth="1"/>
    <col min="45" max="16384" width="11.42578125" style="1"/>
  </cols>
  <sheetData>
    <row r="1" spans="1:44" s="6" customFormat="1" ht="15" customHeight="1" x14ac:dyDescent="0.2">
      <c r="B1" s="51"/>
      <c r="C1" s="52"/>
      <c r="D1" s="68" t="s">
        <v>48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70"/>
      <c r="AR1" s="8" t="s">
        <v>2</v>
      </c>
    </row>
    <row r="2" spans="1:44" s="6" customFormat="1" ht="12.75" customHeight="1" x14ac:dyDescent="0.2">
      <c r="B2" s="53"/>
      <c r="C2" s="54"/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70"/>
      <c r="AR2" s="48" t="s">
        <v>4</v>
      </c>
    </row>
    <row r="3" spans="1:44" s="6" customFormat="1" ht="12.75" customHeight="1" x14ac:dyDescent="0.2">
      <c r="B3" s="53"/>
      <c r="C3" s="54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70"/>
      <c r="AR3" s="49"/>
    </row>
    <row r="4" spans="1:44" s="6" customFormat="1" ht="12.75" customHeight="1" x14ac:dyDescent="0.2">
      <c r="B4" s="55"/>
      <c r="C4" s="56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3"/>
      <c r="AR4" s="50"/>
    </row>
    <row r="5" spans="1:44" ht="12.75" customHeight="1" x14ac:dyDescent="0.2">
      <c r="A5" s="57" t="s">
        <v>0</v>
      </c>
      <c r="B5" s="57" t="s">
        <v>3</v>
      </c>
      <c r="C5" s="63" t="s">
        <v>5</v>
      </c>
      <c r="D5" s="57" t="s">
        <v>6</v>
      </c>
      <c r="E5" s="61" t="s">
        <v>7</v>
      </c>
      <c r="F5" s="65" t="s">
        <v>50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7"/>
      <c r="AR5" s="59" t="s">
        <v>1</v>
      </c>
    </row>
    <row r="6" spans="1:44" ht="81" customHeight="1" x14ac:dyDescent="0.2">
      <c r="A6" s="58"/>
      <c r="B6" s="58"/>
      <c r="C6" s="64"/>
      <c r="D6" s="58"/>
      <c r="E6" s="62"/>
      <c r="F6" s="29" t="s">
        <v>8</v>
      </c>
      <c r="G6" s="29" t="s">
        <v>9</v>
      </c>
      <c r="H6" s="29" t="s">
        <v>10</v>
      </c>
      <c r="I6" s="29" t="s">
        <v>51</v>
      </c>
      <c r="J6" s="29" t="s">
        <v>66</v>
      </c>
      <c r="K6" s="29" t="s">
        <v>11</v>
      </c>
      <c r="L6" s="29" t="s">
        <v>12</v>
      </c>
      <c r="M6" s="29" t="s">
        <v>13</v>
      </c>
      <c r="N6" s="29" t="s">
        <v>14</v>
      </c>
      <c r="O6" s="29" t="s">
        <v>57</v>
      </c>
      <c r="P6" s="29" t="s">
        <v>62</v>
      </c>
      <c r="Q6" s="29" t="s">
        <v>15</v>
      </c>
      <c r="R6" s="29" t="s">
        <v>16</v>
      </c>
      <c r="S6" s="29" t="s">
        <v>61</v>
      </c>
      <c r="T6" s="29" t="s">
        <v>17</v>
      </c>
      <c r="U6" s="29" t="s">
        <v>18</v>
      </c>
      <c r="V6" s="29" t="s">
        <v>53</v>
      </c>
      <c r="W6" s="29" t="s">
        <v>63</v>
      </c>
      <c r="X6" s="29" t="s">
        <v>19</v>
      </c>
      <c r="Y6" s="29" t="s">
        <v>54</v>
      </c>
      <c r="Z6" s="29" t="s">
        <v>58</v>
      </c>
      <c r="AA6" s="29" t="s">
        <v>55</v>
      </c>
      <c r="AB6" s="29" t="s">
        <v>67</v>
      </c>
      <c r="AC6" s="42" t="s">
        <v>74</v>
      </c>
      <c r="AD6" s="29" t="s">
        <v>20</v>
      </c>
      <c r="AE6" s="29" t="s">
        <v>21</v>
      </c>
      <c r="AF6" s="29" t="s">
        <v>22</v>
      </c>
      <c r="AG6" s="29" t="s">
        <v>60</v>
      </c>
      <c r="AH6" s="29" t="s">
        <v>64</v>
      </c>
      <c r="AI6" s="29" t="s">
        <v>65</v>
      </c>
      <c r="AJ6" s="29" t="s">
        <v>23</v>
      </c>
      <c r="AK6" s="29" t="s">
        <v>24</v>
      </c>
      <c r="AL6" s="29" t="s">
        <v>56</v>
      </c>
      <c r="AM6" s="29" t="s">
        <v>59</v>
      </c>
      <c r="AN6" s="29" t="s">
        <v>25</v>
      </c>
      <c r="AO6" s="29" t="s">
        <v>68</v>
      </c>
      <c r="AP6" s="29" t="s">
        <v>26</v>
      </c>
      <c r="AQ6" s="29" t="s">
        <v>69</v>
      </c>
      <c r="AR6" s="60"/>
    </row>
    <row r="7" spans="1:44" s="3" customFormat="1" ht="78.75" x14ac:dyDescent="0.25">
      <c r="A7" s="9">
        <v>1</v>
      </c>
      <c r="B7" s="30" t="s">
        <v>27</v>
      </c>
      <c r="C7" s="31" t="s">
        <v>28</v>
      </c>
      <c r="D7" s="31" t="s">
        <v>29</v>
      </c>
      <c r="E7" s="35">
        <f t="shared" ref="E7:E17" si="0">SUM(F7:AR7)</f>
        <v>51482682576</v>
      </c>
      <c r="F7" s="20"/>
      <c r="G7" s="20"/>
      <c r="H7" s="20"/>
      <c r="I7" s="20"/>
      <c r="J7" s="20"/>
      <c r="K7" s="21">
        <v>27382500000</v>
      </c>
      <c r="L7" s="21">
        <f>'[1]POAI 2021 PCJIC'!$V$7+'[1]POAI 2021 PCJIC'!$V$8</f>
        <v>24100182576</v>
      </c>
      <c r="M7" s="20"/>
      <c r="N7" s="20"/>
      <c r="O7" s="20"/>
      <c r="P7" s="20"/>
      <c r="Q7" s="20"/>
      <c r="R7" s="20"/>
      <c r="S7" s="20"/>
      <c r="T7" s="21"/>
      <c r="U7" s="21"/>
      <c r="V7" s="21"/>
      <c r="W7" s="21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2"/>
      <c r="AP7" s="22"/>
      <c r="AQ7" s="22"/>
      <c r="AR7" s="23"/>
    </row>
    <row r="8" spans="1:44" s="3" customFormat="1" ht="56.25" x14ac:dyDescent="0.25">
      <c r="A8" s="9">
        <v>2</v>
      </c>
      <c r="B8" s="30" t="s">
        <v>30</v>
      </c>
      <c r="C8" s="31" t="s">
        <v>28</v>
      </c>
      <c r="D8" s="32" t="s">
        <v>31</v>
      </c>
      <c r="E8" s="35">
        <f t="shared" si="0"/>
        <v>3744439300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>
        <f>257961600*1.035</f>
        <v>266990255.99999997</v>
      </c>
      <c r="U8" s="24"/>
      <c r="V8" s="24"/>
      <c r="W8" s="45">
        <f>5057487+9000000+35411900</f>
        <v>49469387</v>
      </c>
      <c r="X8" s="20"/>
      <c r="Y8" s="20"/>
      <c r="Z8" s="45">
        <v>973030000</v>
      </c>
      <c r="AA8" s="20"/>
      <c r="AB8" s="45">
        <f>360000000+935758995</f>
        <v>1295758995</v>
      </c>
      <c r="AC8" s="45"/>
      <c r="AD8" s="20"/>
      <c r="AE8" s="20"/>
      <c r="AF8" s="20"/>
      <c r="AG8" s="20"/>
      <c r="AH8" s="20"/>
      <c r="AI8" s="45">
        <v>759512162</v>
      </c>
      <c r="AJ8" s="21">
        <f>799357000/2</f>
        <v>399678500</v>
      </c>
      <c r="AK8" s="20"/>
      <c r="AL8" s="20"/>
      <c r="AM8" s="20"/>
      <c r="AN8" s="20"/>
      <c r="AO8" s="22"/>
      <c r="AP8" s="22"/>
      <c r="AQ8" s="22"/>
      <c r="AR8" s="25"/>
    </row>
    <row r="9" spans="1:44" s="3" customFormat="1" ht="90" x14ac:dyDescent="0.25">
      <c r="A9" s="9">
        <v>3</v>
      </c>
      <c r="B9" s="33" t="s">
        <v>32</v>
      </c>
      <c r="C9" s="31" t="s">
        <v>28</v>
      </c>
      <c r="D9" s="34" t="s">
        <v>70</v>
      </c>
      <c r="E9" s="35">
        <f t="shared" si="0"/>
        <v>2912163275</v>
      </c>
      <c r="F9" s="20"/>
      <c r="G9" s="20"/>
      <c r="H9" s="20"/>
      <c r="I9" s="20"/>
      <c r="J9" s="20"/>
      <c r="K9" s="20"/>
      <c r="L9" s="20"/>
      <c r="M9" s="21">
        <v>100000000</v>
      </c>
      <c r="N9" s="20"/>
      <c r="O9" s="21"/>
      <c r="P9" s="45">
        <f>16782+63340000</f>
        <v>63356782</v>
      </c>
      <c r="Q9" s="20"/>
      <c r="R9" s="20"/>
      <c r="S9" s="20"/>
      <c r="T9" s="21">
        <f>468060512+357000000+300000000</f>
        <v>1125060512</v>
      </c>
      <c r="U9" s="24"/>
      <c r="V9" s="45">
        <f>24553470+78858829+69000000</f>
        <v>172412299</v>
      </c>
      <c r="W9" s="45">
        <f>4902300+1133664+94311483+96238228+26247980+11005000</f>
        <v>233838655</v>
      </c>
      <c r="X9" s="21">
        <f>100000000+250000000</f>
        <v>350000000</v>
      </c>
      <c r="Y9" s="45">
        <v>5000000</v>
      </c>
      <c r="Z9" s="45">
        <f>674930+163602411+40000000</f>
        <v>204277341</v>
      </c>
      <c r="AA9" s="45">
        <v>287275768</v>
      </c>
      <c r="AB9" s="45">
        <f>206090920+115+137656467</f>
        <v>343747502</v>
      </c>
      <c r="AC9" s="45"/>
      <c r="AD9" s="24"/>
      <c r="AE9" s="20"/>
      <c r="AF9" s="20"/>
      <c r="AG9" s="20"/>
      <c r="AH9" s="20"/>
      <c r="AI9" s="45">
        <v>27194416</v>
      </c>
      <c r="AJ9" s="20"/>
      <c r="AK9" s="20"/>
      <c r="AL9" s="20"/>
      <c r="AM9" s="20"/>
      <c r="AN9" s="20"/>
      <c r="AO9" s="22"/>
      <c r="AP9" s="22"/>
      <c r="AQ9" s="22"/>
      <c r="AR9" s="23"/>
    </row>
    <row r="10" spans="1:44" s="3" customFormat="1" ht="112.5" x14ac:dyDescent="0.25">
      <c r="A10" s="9">
        <v>4</v>
      </c>
      <c r="B10" s="36" t="s">
        <v>33</v>
      </c>
      <c r="C10" s="31" t="s">
        <v>28</v>
      </c>
      <c r="D10" s="37" t="s">
        <v>71</v>
      </c>
      <c r="E10" s="35">
        <f t="shared" si="0"/>
        <v>1593718026.5999999</v>
      </c>
      <c r="F10" s="20"/>
      <c r="G10" s="20"/>
      <c r="H10" s="20"/>
      <c r="I10" s="20"/>
      <c r="J10" s="20"/>
      <c r="K10" s="20"/>
      <c r="L10" s="20"/>
      <c r="M10" s="21">
        <v>100000000</v>
      </c>
      <c r="N10" s="20"/>
      <c r="O10" s="21"/>
      <c r="P10" s="45">
        <v>133000004</v>
      </c>
      <c r="Q10" s="20"/>
      <c r="R10" s="20"/>
      <c r="S10" s="20"/>
      <c r="T10" s="21">
        <f>376740000+104781081.6</f>
        <v>481521081.60000002</v>
      </c>
      <c r="U10" s="24"/>
      <c r="V10" s="24"/>
      <c r="W10" s="45">
        <f>186088978+178633548+45228432+8020489+11683190+25158841</f>
        <v>454813478</v>
      </c>
      <c r="X10" s="21">
        <v>100000000</v>
      </c>
      <c r="Y10" s="21"/>
      <c r="Z10" s="45">
        <v>47444904</v>
      </c>
      <c r="AA10" s="21"/>
      <c r="AB10" s="45">
        <f>148820774+85000000</f>
        <v>233820774</v>
      </c>
      <c r="AC10" s="45"/>
      <c r="AD10" s="20"/>
      <c r="AE10" s="20"/>
      <c r="AF10" s="20"/>
      <c r="AG10" s="20"/>
      <c r="AH10" s="20"/>
      <c r="AI10" s="45">
        <v>42978831</v>
      </c>
      <c r="AJ10" s="20"/>
      <c r="AK10" s="20"/>
      <c r="AL10" s="20"/>
      <c r="AM10" s="20"/>
      <c r="AN10" s="20">
        <v>1000</v>
      </c>
      <c r="AO10" s="45">
        <f>370+57916</f>
        <v>58286</v>
      </c>
      <c r="AP10" s="22">
        <v>6000</v>
      </c>
      <c r="AQ10" s="45">
        <f>411+73257</f>
        <v>73668</v>
      </c>
      <c r="AR10" s="27"/>
    </row>
    <row r="11" spans="1:44" ht="45" x14ac:dyDescent="0.2">
      <c r="A11" s="9">
        <v>5</v>
      </c>
      <c r="B11" s="38" t="s">
        <v>34</v>
      </c>
      <c r="C11" s="31" t="s">
        <v>28</v>
      </c>
      <c r="D11" s="39" t="s">
        <v>35</v>
      </c>
      <c r="E11" s="35">
        <f t="shared" si="0"/>
        <v>2520368505.0133762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>
        <f>300000000*0.922721243377921+30000000+700000000</f>
        <v>1006816373.0133762</v>
      </c>
      <c r="U11" s="24"/>
      <c r="V11" s="24"/>
      <c r="W11" s="45">
        <f>4251803+200076540</f>
        <v>204328343</v>
      </c>
      <c r="X11" s="21">
        <v>260000000</v>
      </c>
      <c r="Y11" s="21"/>
      <c r="Z11" s="45">
        <v>20205192</v>
      </c>
      <c r="AA11" s="45">
        <v>6067031</v>
      </c>
      <c r="AB11" s="45">
        <f>336278514+400000000</f>
        <v>736278514</v>
      </c>
      <c r="AC11" s="45"/>
      <c r="AD11" s="20"/>
      <c r="AE11" s="26"/>
      <c r="AF11" s="26"/>
      <c r="AG11" s="26"/>
      <c r="AH11" s="20"/>
      <c r="AI11" s="45">
        <v>286673052</v>
      </c>
      <c r="AJ11" s="21"/>
      <c r="AK11" s="20"/>
      <c r="AL11" s="20"/>
      <c r="AM11" s="20"/>
      <c r="AN11" s="20"/>
      <c r="AO11" s="22"/>
      <c r="AP11" s="22"/>
      <c r="AQ11" s="22"/>
      <c r="AR11" s="23"/>
    </row>
    <row r="12" spans="1:44" ht="67.5" x14ac:dyDescent="0.2">
      <c r="A12" s="9">
        <v>6</v>
      </c>
      <c r="B12" s="38" t="s">
        <v>36</v>
      </c>
      <c r="C12" s="31" t="s">
        <v>37</v>
      </c>
      <c r="D12" s="31" t="s">
        <v>38</v>
      </c>
      <c r="E12" s="35">
        <f t="shared" si="0"/>
        <v>30799640875.799999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>
        <f>156615680*1.035+200000000</f>
        <v>362097228.79999995</v>
      </c>
      <c r="U12" s="20"/>
      <c r="V12" s="20"/>
      <c r="W12" s="45">
        <f>16991300+50000000+195827900</f>
        <v>262819200</v>
      </c>
      <c r="X12" s="20"/>
      <c r="Y12" s="20"/>
      <c r="Z12" s="20"/>
      <c r="AA12" s="20"/>
      <c r="AB12" s="20"/>
      <c r="AC12" s="20"/>
      <c r="AD12" s="20"/>
      <c r="AE12" s="26"/>
      <c r="AF12" s="26"/>
      <c r="AG12" s="26"/>
      <c r="AH12" s="20"/>
      <c r="AI12" s="20"/>
      <c r="AJ12" s="21">
        <f>799357000/2</f>
        <v>399678500</v>
      </c>
      <c r="AK12" s="21">
        <v>22838777000</v>
      </c>
      <c r="AL12" s="45">
        <f>1369344467+119908000</f>
        <v>1489252467</v>
      </c>
      <c r="AM12" s="45">
        <v>5447016480</v>
      </c>
      <c r="AN12" s="20"/>
      <c r="AO12" s="22"/>
      <c r="AP12" s="22"/>
      <c r="AQ12" s="22"/>
      <c r="AR12" s="23"/>
    </row>
    <row r="13" spans="1:44" ht="78.75" x14ac:dyDescent="0.2">
      <c r="A13" s="9">
        <v>7</v>
      </c>
      <c r="B13" s="38" t="s">
        <v>39</v>
      </c>
      <c r="C13" s="31" t="s">
        <v>28</v>
      </c>
      <c r="D13" s="31" t="s">
        <v>40</v>
      </c>
      <c r="E13" s="35">
        <f t="shared" si="0"/>
        <v>836804529.79999995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>
        <f>359956480*1.035+200000000</f>
        <v>572554956.79999995</v>
      </c>
      <c r="U13" s="24"/>
      <c r="V13" s="24"/>
      <c r="W13" s="45">
        <f>22713755+3579226</f>
        <v>26292981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45">
        <f>68620220+169336372</f>
        <v>237956592</v>
      </c>
      <c r="AN13" s="20"/>
      <c r="AO13" s="22"/>
      <c r="AP13" s="22"/>
      <c r="AQ13" s="22"/>
      <c r="AR13" s="25"/>
    </row>
    <row r="14" spans="1:44" ht="135" x14ac:dyDescent="0.2">
      <c r="A14" s="9">
        <v>8</v>
      </c>
      <c r="B14" s="38" t="s">
        <v>41</v>
      </c>
      <c r="C14" s="31" t="s">
        <v>42</v>
      </c>
      <c r="D14" s="31" t="s">
        <v>72</v>
      </c>
      <c r="E14" s="35">
        <f t="shared" si="0"/>
        <v>5409461910.0599995</v>
      </c>
      <c r="F14" s="21">
        <v>1341112000</v>
      </c>
      <c r="G14" s="21">
        <v>179134000</v>
      </c>
      <c r="H14" s="21">
        <v>22000000</v>
      </c>
      <c r="I14" s="21">
        <v>9551000</v>
      </c>
      <c r="J14" s="45">
        <f>574950966+1005372794</f>
        <v>1580323760</v>
      </c>
      <c r="K14" s="20"/>
      <c r="L14" s="20"/>
      <c r="M14" s="20"/>
      <c r="N14" s="20"/>
      <c r="O14" s="20"/>
      <c r="P14" s="20"/>
      <c r="Q14" s="20"/>
      <c r="R14" s="20"/>
      <c r="S14" s="20"/>
      <c r="T14" s="21">
        <f>50000000+319817042.06</f>
        <v>369817042.06</v>
      </c>
      <c r="U14" s="20"/>
      <c r="V14" s="20"/>
      <c r="W14" s="45">
        <f>22191145+6267570+17300427+36865740</f>
        <v>82624882</v>
      </c>
      <c r="X14" s="20"/>
      <c r="Y14" s="20"/>
      <c r="Z14" s="20"/>
      <c r="AA14" s="20"/>
      <c r="AB14" s="45">
        <f>2578930+130591515+200000000</f>
        <v>333170445</v>
      </c>
      <c r="AC14" s="45"/>
      <c r="AD14" s="20"/>
      <c r="AE14" s="21">
        <f>807160000</f>
        <v>807160000</v>
      </c>
      <c r="AF14" s="21">
        <v>5387000</v>
      </c>
      <c r="AG14" s="45">
        <f>53663806+54455430+21442376+3809528+54455430+419927+307449878+108910860+70770529</f>
        <v>675377764</v>
      </c>
      <c r="AH14" s="20"/>
      <c r="AI14" s="45">
        <v>3804017</v>
      </c>
      <c r="AJ14" s="20"/>
      <c r="AK14" s="20"/>
      <c r="AL14" s="20"/>
      <c r="AM14" s="20"/>
      <c r="AN14" s="20"/>
      <c r="AO14" s="22"/>
      <c r="AP14" s="22"/>
      <c r="AQ14" s="22"/>
      <c r="AR14" s="25"/>
    </row>
    <row r="15" spans="1:44" ht="67.5" x14ac:dyDescent="0.2">
      <c r="A15" s="9">
        <v>9</v>
      </c>
      <c r="B15" s="38" t="s">
        <v>43</v>
      </c>
      <c r="C15" s="31" t="s">
        <v>42</v>
      </c>
      <c r="D15" s="31" t="s">
        <v>44</v>
      </c>
      <c r="E15" s="35">
        <f t="shared" si="0"/>
        <v>6302816751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v>56103000</v>
      </c>
      <c r="R15" s="21">
        <v>126000</v>
      </c>
      <c r="S15" s="45">
        <v>10559437</v>
      </c>
      <c r="T15" s="20">
        <f>1144000000*1.035+400000000</f>
        <v>1584040000</v>
      </c>
      <c r="U15" s="20"/>
      <c r="V15" s="20"/>
      <c r="W15" s="45">
        <f>79927209+1415000000+81823474</f>
        <v>1576750683</v>
      </c>
      <c r="X15" s="20"/>
      <c r="Y15" s="20"/>
      <c r="Z15" s="45">
        <f>545712855+286192</f>
        <v>545999047</v>
      </c>
      <c r="AA15" s="20"/>
      <c r="AB15" s="45">
        <f>279860429+693545548</f>
        <v>973405977</v>
      </c>
      <c r="AC15" s="43">
        <v>900000000</v>
      </c>
      <c r="AD15" s="20"/>
      <c r="AE15" s="20"/>
      <c r="AF15" s="20"/>
      <c r="AG15" s="20"/>
      <c r="AH15" s="20"/>
      <c r="AI15" s="45">
        <f>4389911+651442696</f>
        <v>655832607</v>
      </c>
      <c r="AJ15" s="20"/>
      <c r="AK15" s="20"/>
      <c r="AL15" s="20"/>
      <c r="AM15" s="20"/>
      <c r="AN15" s="20"/>
      <c r="AO15" s="22"/>
      <c r="AP15" s="22"/>
      <c r="AQ15" s="22"/>
      <c r="AR15" s="23"/>
    </row>
    <row r="16" spans="1:44" ht="90" x14ac:dyDescent="0.2">
      <c r="A16" s="9">
        <v>10</v>
      </c>
      <c r="B16" s="38" t="s">
        <v>52</v>
      </c>
      <c r="C16" s="31" t="s">
        <v>45</v>
      </c>
      <c r="D16" s="40" t="s">
        <v>73</v>
      </c>
      <c r="E16" s="35">
        <f t="shared" si="0"/>
        <v>16073318596</v>
      </c>
      <c r="F16" s="20"/>
      <c r="G16" s="20"/>
      <c r="H16" s="20"/>
      <c r="I16" s="20"/>
      <c r="J16" s="20"/>
      <c r="K16" s="20"/>
      <c r="L16" s="20"/>
      <c r="M16" s="21">
        <f>764886000+50000000</f>
        <v>814886000</v>
      </c>
      <c r="N16" s="21">
        <v>29260000</v>
      </c>
      <c r="O16" s="45">
        <v>537845205</v>
      </c>
      <c r="P16" s="45">
        <f>3892473446+840210557+240844713+31545285+50000000</f>
        <v>5055074001</v>
      </c>
      <c r="Q16" s="28"/>
      <c r="R16" s="28"/>
      <c r="S16" s="28"/>
      <c r="T16" s="20">
        <f>116341500+228674695+524700000+109202000</f>
        <v>978918195</v>
      </c>
      <c r="U16" s="21">
        <v>8168095</v>
      </c>
      <c r="V16" s="45">
        <v>85323000</v>
      </c>
      <c r="W16" s="45">
        <f>729878+137565776+9760509+61000000+112630160+177000000+414+185234088+42164431</f>
        <v>726085256</v>
      </c>
      <c r="X16" s="21">
        <f>440805000-50000000+60000000+513104278</f>
        <v>963909278</v>
      </c>
      <c r="Y16" s="45">
        <v>197412927</v>
      </c>
      <c r="Z16" s="45">
        <f>986525782+1025227625</f>
        <v>2011753407</v>
      </c>
      <c r="AA16" s="45"/>
      <c r="AB16" s="45"/>
      <c r="AC16" s="43">
        <v>1500000000</v>
      </c>
      <c r="AD16" s="21">
        <v>36245000</v>
      </c>
      <c r="AE16" s="28"/>
      <c r="AF16" s="28"/>
      <c r="AG16" s="28"/>
      <c r="AH16" s="21">
        <v>230962000</v>
      </c>
      <c r="AI16" s="45">
        <f>768356+1123442955</f>
        <v>1124211311</v>
      </c>
      <c r="AJ16" s="20"/>
      <c r="AK16" s="20"/>
      <c r="AL16" s="20"/>
      <c r="AM16" s="45">
        <f>1772976563+288358</f>
        <v>1773264921</v>
      </c>
      <c r="AN16" s="20"/>
      <c r="AO16" s="22"/>
      <c r="AP16" s="22"/>
      <c r="AQ16" s="22"/>
      <c r="AR16" s="23"/>
    </row>
    <row r="17" spans="1:44" ht="67.5" x14ac:dyDescent="0.2">
      <c r="A17" s="9">
        <v>11</v>
      </c>
      <c r="B17" s="38" t="s">
        <v>46</v>
      </c>
      <c r="C17" s="31" t="s">
        <v>28</v>
      </c>
      <c r="D17" s="40" t="s">
        <v>47</v>
      </c>
      <c r="E17" s="35">
        <f t="shared" si="0"/>
        <v>1777786859.73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>
        <f>100000000*1.035+34980259.73</f>
        <v>138480259.72999999</v>
      </c>
      <c r="U17" s="20"/>
      <c r="V17" s="20"/>
      <c r="W17" s="45">
        <v>664840</v>
      </c>
      <c r="X17" s="20"/>
      <c r="Y17" s="20"/>
      <c r="Z17" s="45">
        <v>60000000</v>
      </c>
      <c r="AA17" s="20"/>
      <c r="AB17" s="45">
        <f>255299178+150000000</f>
        <v>405299178</v>
      </c>
      <c r="AC17" s="43">
        <v>1173342582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2"/>
      <c r="AP17" s="22"/>
      <c r="AQ17" s="22"/>
      <c r="AR17" s="23"/>
    </row>
    <row r="18" spans="1:44" s="7" customFormat="1" ht="15" x14ac:dyDescent="0.25">
      <c r="A18" s="46" t="s">
        <v>49</v>
      </c>
      <c r="B18" s="47"/>
      <c r="C18" s="47"/>
      <c r="D18" s="47"/>
      <c r="E18" s="41">
        <f>SUM(E7:E17)</f>
        <v>123453201205.00337</v>
      </c>
      <c r="F18" s="41">
        <f t="shared" ref="F18:AQ18" si="1">SUM(F7:F17)</f>
        <v>1341112000</v>
      </c>
      <c r="G18" s="41">
        <f t="shared" si="1"/>
        <v>179134000</v>
      </c>
      <c r="H18" s="41">
        <f t="shared" si="1"/>
        <v>22000000</v>
      </c>
      <c r="I18" s="41">
        <f t="shared" si="1"/>
        <v>9551000</v>
      </c>
      <c r="J18" s="41">
        <f t="shared" si="1"/>
        <v>1580323760</v>
      </c>
      <c r="K18" s="41">
        <f t="shared" si="1"/>
        <v>27382500000</v>
      </c>
      <c r="L18" s="41">
        <f t="shared" si="1"/>
        <v>24100182576</v>
      </c>
      <c r="M18" s="41">
        <f t="shared" si="1"/>
        <v>1014886000</v>
      </c>
      <c r="N18" s="41">
        <f t="shared" si="1"/>
        <v>29260000</v>
      </c>
      <c r="O18" s="41">
        <f>SUM(O7:O17)</f>
        <v>537845205</v>
      </c>
      <c r="P18" s="41">
        <f t="shared" si="1"/>
        <v>5251430787</v>
      </c>
      <c r="Q18" s="41">
        <f t="shared" si="1"/>
        <v>56103000</v>
      </c>
      <c r="R18" s="41">
        <f t="shared" si="1"/>
        <v>126000</v>
      </c>
      <c r="S18" s="41">
        <f t="shared" si="1"/>
        <v>10559437</v>
      </c>
      <c r="T18" s="41">
        <f t="shared" si="1"/>
        <v>6886295905.003376</v>
      </c>
      <c r="U18" s="41">
        <f t="shared" si="1"/>
        <v>8168095</v>
      </c>
      <c r="V18" s="41">
        <f t="shared" si="1"/>
        <v>257735299</v>
      </c>
      <c r="W18" s="41">
        <f t="shared" si="1"/>
        <v>3617687705</v>
      </c>
      <c r="X18" s="41">
        <f t="shared" si="1"/>
        <v>1673909278</v>
      </c>
      <c r="Y18" s="41">
        <f t="shared" si="1"/>
        <v>202412927</v>
      </c>
      <c r="Z18" s="41">
        <f t="shared" si="1"/>
        <v>3862709891</v>
      </c>
      <c r="AA18" s="41">
        <f t="shared" si="1"/>
        <v>293342799</v>
      </c>
      <c r="AB18" s="41">
        <f t="shared" si="1"/>
        <v>4321481385</v>
      </c>
      <c r="AC18" s="44">
        <f t="shared" si="1"/>
        <v>3573342582</v>
      </c>
      <c r="AD18" s="41">
        <f t="shared" si="1"/>
        <v>36245000</v>
      </c>
      <c r="AE18" s="41">
        <f t="shared" si="1"/>
        <v>807160000</v>
      </c>
      <c r="AF18" s="41">
        <f t="shared" si="1"/>
        <v>5387000</v>
      </c>
      <c r="AG18" s="41">
        <f t="shared" si="1"/>
        <v>675377764</v>
      </c>
      <c r="AH18" s="41">
        <f t="shared" si="1"/>
        <v>230962000</v>
      </c>
      <c r="AI18" s="41">
        <f t="shared" si="1"/>
        <v>2900206396</v>
      </c>
      <c r="AJ18" s="41">
        <f t="shared" si="1"/>
        <v>799357000</v>
      </c>
      <c r="AK18" s="41">
        <f t="shared" si="1"/>
        <v>22838777000</v>
      </c>
      <c r="AL18" s="41">
        <f t="shared" si="1"/>
        <v>1489252467</v>
      </c>
      <c r="AM18" s="41">
        <f t="shared" si="1"/>
        <v>7458237993</v>
      </c>
      <c r="AN18" s="41">
        <f t="shared" si="1"/>
        <v>1000</v>
      </c>
      <c r="AO18" s="41">
        <f t="shared" si="1"/>
        <v>58286</v>
      </c>
      <c r="AP18" s="41">
        <f t="shared" si="1"/>
        <v>6000</v>
      </c>
      <c r="AQ18" s="41">
        <f t="shared" si="1"/>
        <v>73668</v>
      </c>
      <c r="AR18" s="18"/>
    </row>
    <row r="19" spans="1:44" s="7" customFormat="1" ht="25.5" customHeight="1" x14ac:dyDescent="0.2">
      <c r="A19" s="10"/>
      <c r="B19" s="11"/>
      <c r="C19" s="12"/>
      <c r="D19" s="13"/>
      <c r="E19" s="1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7"/>
    </row>
    <row r="20" spans="1:44" s="7" customFormat="1" ht="25.5" customHeight="1" x14ac:dyDescent="0.2">
      <c r="A20" s="10"/>
      <c r="B20" s="11"/>
      <c r="C20" s="12"/>
      <c r="D20" s="1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5"/>
      <c r="Y20" s="15"/>
      <c r="Z20" s="15"/>
      <c r="AA20" s="15"/>
      <c r="AB20" s="15"/>
      <c r="AC20" s="15"/>
      <c r="AD20" s="15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8"/>
    </row>
    <row r="21" spans="1:44" s="7" customFormat="1" ht="25.5" customHeight="1" x14ac:dyDescent="0.2">
      <c r="A21" s="10"/>
      <c r="B21" s="11"/>
      <c r="C21" s="12"/>
      <c r="D21" s="13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5"/>
      <c r="Y21" s="15"/>
      <c r="Z21" s="15"/>
      <c r="AA21" s="15"/>
      <c r="AB21" s="15"/>
      <c r="AC21" s="15"/>
      <c r="AD21" s="15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8"/>
    </row>
    <row r="22" spans="1:44" s="3" customFormat="1" ht="25.5" customHeight="1" x14ac:dyDescent="0.2">
      <c r="A22" s="10"/>
      <c r="B22" s="11"/>
      <c r="C22" s="12"/>
      <c r="D22" s="13"/>
      <c r="E22" s="1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6"/>
      <c r="Y22" s="16"/>
      <c r="Z22" s="16"/>
      <c r="AA22" s="16"/>
      <c r="AB22" s="16"/>
      <c r="AC22" s="16"/>
      <c r="AD22" s="14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8"/>
    </row>
  </sheetData>
  <autoFilter ref="A6:AR18"/>
  <mergeCells count="11">
    <mergeCell ref="A18:D18"/>
    <mergeCell ref="AR2:AR4"/>
    <mergeCell ref="B1:C4"/>
    <mergeCell ref="A5:A6"/>
    <mergeCell ref="AR5:AR6"/>
    <mergeCell ref="E5:E6"/>
    <mergeCell ref="B5:B6"/>
    <mergeCell ref="C5:C6"/>
    <mergeCell ref="D5:D6"/>
    <mergeCell ref="F5:AQ5"/>
    <mergeCell ref="D1:AQ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9" orientation="landscape" r:id="rId1"/>
  <headerFooter>
    <oddHeader>&amp;C&amp;"-,Negrita"&amp;16POLITECNICO COLOMBIANO JAIME ISAZA CADAVIDPOAI 2011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2022</vt:lpstr>
      <vt:lpstr>'POAI 2022'!Área_de_impresión</vt:lpstr>
      <vt:lpstr>'POAI 2022'!Títulos_a_imprimir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2022-05-13T00:28:47Z</cp:lastPrinted>
  <dcterms:created xsi:type="dcterms:W3CDTF">2010-09-16T13:59:32Z</dcterms:created>
  <dcterms:modified xsi:type="dcterms:W3CDTF">2022-07-19T23:02:32Z</dcterms:modified>
</cp:coreProperties>
</file>