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PCJIC'!$A$6:$AN$65</definedName>
    <definedName name="_xlnm.Print_Area" localSheetId="0">'POAI 2019 PCJIC'!$A$1:$AH$65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AB38" i="3" l="1"/>
  <c r="F48" i="3" l="1"/>
  <c r="F47" i="3" l="1"/>
  <c r="F46" i="3"/>
  <c r="F45" i="3"/>
  <c r="F44" i="3"/>
  <c r="F43" i="3" l="1"/>
  <c r="F42" i="3" l="1"/>
  <c r="F41" i="3" l="1"/>
  <c r="F40" i="3"/>
  <c r="F39" i="3" l="1"/>
  <c r="AB18" i="3"/>
  <c r="F38" i="3" l="1"/>
  <c r="F37" i="3" l="1"/>
  <c r="F36" i="3" l="1"/>
  <c r="AB24" i="3" l="1"/>
  <c r="F35" i="3" l="1"/>
  <c r="F64" i="3" l="1"/>
  <c r="F63" i="3"/>
  <c r="F61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53" i="3"/>
  <c r="R59" i="3"/>
  <c r="R65" i="3" s="1"/>
  <c r="V57" i="3"/>
  <c r="V55" i="3"/>
  <c r="V13" i="3"/>
  <c r="Z13" i="3"/>
  <c r="Z65" i="3" s="1"/>
  <c r="I65" i="3"/>
  <c r="AF65" i="3"/>
  <c r="AG65" i="3"/>
  <c r="AE65" i="3"/>
  <c r="H65" i="3"/>
  <c r="K65" i="3"/>
  <c r="L65" i="3"/>
  <c r="N65" i="3"/>
  <c r="P65" i="3"/>
  <c r="Q65" i="3"/>
  <c r="T65" i="3"/>
  <c r="U65" i="3"/>
  <c r="Y65" i="3"/>
  <c r="AA65" i="3"/>
  <c r="AC65" i="3"/>
  <c r="AD65" i="3"/>
  <c r="V65" i="3" l="1"/>
  <c r="AB20" i="3" l="1"/>
  <c r="F20" i="3" s="1"/>
  <c r="F18" i="3"/>
  <c r="O62" i="3" l="1"/>
  <c r="F62" i="3" s="1"/>
  <c r="AB15" i="3" l="1"/>
  <c r="AB14" i="3" s="1"/>
  <c r="F15" i="3" l="1"/>
  <c r="X13" i="3"/>
  <c r="F14" i="3" l="1"/>
  <c r="AB65" i="3"/>
  <c r="A8" i="3" l="1"/>
  <c r="A9" i="3" s="1"/>
  <c r="A10" i="3" s="1"/>
  <c r="A11" i="3" s="1"/>
  <c r="A12" i="3" s="1"/>
  <c r="A13" i="3" s="1"/>
  <c r="A14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J7" i="3"/>
  <c r="S52" i="3"/>
  <c r="F52" i="3" s="1"/>
  <c r="M59" i="3"/>
  <c r="G56" i="3"/>
  <c r="S51" i="3"/>
  <c r="S55" i="3"/>
  <c r="O9" i="3"/>
  <c r="O10" i="3"/>
  <c r="F10" i="3" s="1"/>
  <c r="O12" i="3"/>
  <c r="F12" i="3" s="1"/>
  <c r="O57" i="3"/>
  <c r="F57" i="3" s="1"/>
  <c r="O13" i="3"/>
  <c r="F13" i="3" s="1"/>
  <c r="O54" i="3"/>
  <c r="F54" i="3" s="1"/>
  <c r="O50" i="3"/>
  <c r="F50" i="3" s="1"/>
  <c r="O49" i="3"/>
  <c r="X49" i="3"/>
  <c r="X65" i="3" s="1"/>
  <c r="W59" i="3"/>
  <c r="W58" i="3"/>
  <c r="F58" i="3" s="1"/>
  <c r="W9" i="3"/>
  <c r="O11" i="3"/>
  <c r="F11" i="3" s="1"/>
  <c r="O60" i="3"/>
  <c r="F60" i="3" s="1"/>
  <c r="O55" i="3"/>
  <c r="F49" i="3" l="1"/>
  <c r="W65" i="3"/>
  <c r="F55" i="3"/>
  <c r="F51" i="3"/>
  <c r="S65" i="3"/>
  <c r="J65" i="3"/>
  <c r="F7" i="3"/>
  <c r="F56" i="3"/>
  <c r="G65" i="3"/>
  <c r="F9" i="3"/>
  <c r="O65" i="3"/>
  <c r="M65" i="3"/>
  <c r="F59" i="3"/>
  <c r="F65" i="3" l="1"/>
</calcChain>
</file>

<file path=xl/sharedStrings.xml><?xml version="1.0" encoding="utf-8"?>
<sst xmlns="http://schemas.openxmlformats.org/spreadsheetml/2006/main" count="295" uniqueCount="206">
  <si>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</si>
  <si>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</si>
  <si>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</si>
  <si>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</si>
  <si>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</si>
  <si>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</si>
  <si>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</si>
  <si>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</si>
  <si>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</si>
  <si>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</si>
  <si>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</si>
  <si>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</si>
  <si>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</si>
  <si>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</si>
  <si>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</si>
  <si>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</si>
  <si>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</si>
  <si>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</si>
  <si>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</si>
  <si>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</si>
  <si>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</si>
  <si>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</si>
  <si>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</si>
  <si>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</si>
  <si>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</si>
  <si>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</si>
  <si>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</si>
  <si>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</si>
  <si>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</si>
  <si>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</si>
  <si>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</si>
  <si>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</si>
  <si>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</si>
  <si>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</si>
  <si>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</si>
  <si>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</si>
  <si>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</si>
  <si>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</si>
  <si>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</si>
  <si>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</si>
  <si>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</si>
  <si>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</si>
  <si>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</si>
  <si>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</si>
  <si>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</si>
  <si>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</si>
  <si>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</si>
  <si>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</si>
  <si>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</si>
  <si>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</si>
  <si>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</si>
  <si>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</si>
  <si>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</si>
  <si>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</si>
  <si>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</si>
  <si>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</si>
  <si>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</si>
  <si>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</si>
  <si>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</si>
  <si>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</si>
  <si>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</si>
  <si>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</si>
  <si>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</si>
  <si>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</si>
  <si>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</si>
  <si>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</si>
  <si>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</si>
  <si>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</si>
  <si>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</si>
  <si>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</si>
  <si>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</si>
  <si>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</si>
  <si>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</si>
  <si>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</si>
  <si>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</si>
  <si>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</si>
  <si>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</si>
  <si>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</si>
  <si>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</si>
  <si>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</si>
  <si>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</si>
  <si>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</si>
  <si>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</si>
  <si>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</si>
  <si>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</si>
  <si>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</si>
  <si>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</si>
  <si>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</si>
  <si>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</si>
  <si>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</si>
  <si>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</si>
  <si>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</si>
  <si>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</si>
  <si>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</si>
  <si>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</si>
  <si>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</si>
  <si>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</si>
  <si>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</si>
  <si>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</si>
  <si>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</si>
  <si>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</si>
  <si>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</si>
  <si>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</si>
  <si>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</si>
  <si>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</si>
  <si>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</si>
  <si>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</si>
  <si>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</si>
  <si>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</si>
  <si>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</si>
  <si>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</si>
  <si>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</si>
  <si>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</si>
  <si>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</si>
  <si>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</si>
  <si>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</si>
  <si>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</si>
  <si>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</si>
  <si>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</si>
  <si>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</si>
  <si>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</si>
  <si>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</si>
  <si>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</si>
  <si>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</si>
  <si>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</si>
  <si>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</si>
  <si>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</si>
  <si>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</si>
  <si>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</si>
  <si>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</si>
  <si>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</si>
  <si>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</si>
  <si>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</si>
  <si>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</si>
  <si>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</si>
  <si>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trasladan recursos por $2.357.784.000 del Proyecto “Fortalecimiento de la infraestructura física para apoyar el desarrollo institucional”, según Decreto 2019070002920 del 31 de mayo de 2019</t>
  </si>
  <si>
    <t>Se le adicionan recursos por $849.215.092 CREE, según Decreto 2019070002421 del 10 de mayo de 2019 (Balance)</t>
  </si>
  <si>
    <t>Se le adicionan recursos por $2.842.588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</si>
  <si>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</si>
  <si>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</si>
  <si>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</si>
  <si>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</si>
  <si>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</si>
  <si>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</si>
  <si>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</si>
  <si>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</si>
  <si>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</si>
  <si>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</si>
  <si>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</si>
  <si>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</si>
  <si>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</si>
  <si>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</si>
  <si>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</si>
  <si>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</si>
  <si>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</si>
  <si>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Se le adicionan recursos por $28.093.948 CREE, según Resolución Rectoral 201905000027 del 18 de enero de 2019 (Reservas)
Se le adicionan recursos por $476.166.922 CREE, según Decreto 2019070002421 del 10 de mayo de 2019 (Balance)</t>
  </si>
  <si>
    <t>Se le adicionan recursos por $774.693.565 FBSL, según Decreto 2019070002421 del 10 de mayo de 2019 (Balance)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</si>
  <si>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</si>
  <si>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</si>
  <si>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</si>
  <si>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</si>
  <si>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</si>
  <si>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</si>
  <si>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</si>
  <si>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</si>
  <si>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</si>
  <si>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</si>
  <si>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</si>
  <si>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</si>
  <si>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</si>
  <si>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</si>
  <si>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</si>
  <si>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</si>
  <si>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</si>
  <si>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8.25</t>
  </si>
  <si>
    <t>C.I. 9619-2019 DEPARTAMENTO ANTIOQUIA - GERENCIA DE PAZ Y POSCONFLICTO</t>
  </si>
  <si>
    <t>Se le trasladan recursos por $727.272.700, según Resolución Rectoral 201905000471 del 28 de junio de 2019</t>
  </si>
  <si>
    <t>Se le trasladan recursos por $540.000.000, según Resolución Rectoral 201905000475 del 2 de julio de 2019</t>
  </si>
  <si>
    <t>8.26</t>
  </si>
  <si>
    <t>8.27</t>
  </si>
  <si>
    <t>C.I. 2019-SS-37-0011 Gerencia de Servicios Públicos</t>
  </si>
  <si>
    <t>C.I. 1905-83 CORANTIOQUIA</t>
  </si>
  <si>
    <t>Se le trasladan recursos por $43.707.780, según Resolución Rectoral 201905000088 del 01 de febrero de 2019
Se le trasladan recursos por $7.529.073, según Resolución Rectoral 201905000059 del 29 de enero de 2019
Se le trasladan recursos por $23.544.142, según Resolución Rectoral 201905000471 del 28 de junio de 2019</t>
  </si>
  <si>
    <t>8.28</t>
  </si>
  <si>
    <t>C.I. 436 INDEPORTES ANTIOQUIA 2019</t>
  </si>
  <si>
    <t>Se le trasladan recursos por $535.714.286.000, según Resolución Rectoral 201905000475 del 2 de julio de 2019</t>
  </si>
  <si>
    <t>Se le trasladan recursos por $454.545.455 según Resolución Rectoral 201905000501 del 16 de julio de 2019</t>
  </si>
  <si>
    <t>Se le trasladan recursos por $1.200.000.000 según Resolución Rectoral 201905000502 del 17 de julio de 2019</t>
  </si>
  <si>
    <t>8.29</t>
  </si>
  <si>
    <t>C.I 460009902 Dpto Ant-Sría Agricultura</t>
  </si>
  <si>
    <t>C.I. 734 AREA METROPOLITANA 2019</t>
  </si>
  <si>
    <t>C.I. 442 INDEPORTES ANTIOQUIA 2019</t>
  </si>
  <si>
    <t>CONTRATO DEVIMAR 304</t>
  </si>
  <si>
    <t>8.30</t>
  </si>
  <si>
    <t>8.31</t>
  </si>
  <si>
    <t>8.32</t>
  </si>
  <si>
    <t>8.33</t>
  </si>
  <si>
    <t>8.34</t>
  </si>
  <si>
    <t>Se le trasladan recursos por $79.785.000 según Resolución Rectoral 201905000594 del 26 de julio de 2019</t>
  </si>
  <si>
    <t>Se le trasladan recursos por $90.830.000 según Resolución Rectoral 201905000594 del 26 de julio de 2019</t>
  </si>
  <si>
    <t>Se le trasladan recursos por $790.769.173 según Resolución Rectoral 201905000594 del 26 de julio de 2019</t>
  </si>
  <si>
    <t>Se le trasladan recursos por $383.125.735 según Resolución Rectoral 201905000602 del 30 de julio de 2019</t>
  </si>
  <si>
    <t>C.I. 4600009934 DPTO ANT.SEC.PROD. Y COMPETITIVIDAD</t>
  </si>
  <si>
    <t>C.I GGC 408 MIN MINAS / CORANTIOQUIA</t>
  </si>
  <si>
    <t>Se le trasladan recursos por $355.668.436 según Resolución Rectoral 201905000594 del 26 de julio de 2019</t>
  </si>
  <si>
    <t>Se le trasladan recursos por $1.500.000.000, según Resolución Rectoral 201905000444 del 18 de junio de 2019
Se trasladan recursos por $215.000.000, a Administración de Convenios, según Resolución Rectoral 201905000601 del 30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</si>
</sst>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3" fontId="2" fillId="0" borderId="0" xfId="3" applyNumberFormat="1"/>
    <xf numFmtId="167" fontId="2" fillId="0" borderId="0" xfId="3" applyNumberFormat="1"/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0" fontId="0" fillId="0" borderId="0" xfId="0" applyFill="1" applyBorder="1"/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38" fontId="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11" fillId="0" borderId="0" xfId="3" applyNumberFormat="1" applyFont="1" applyBorder="1" applyAlignment="1">
      <alignment horizontal="center" vertical="center"/>
    </xf>
    <xf numFmtId="0" fontId="3" fillId="0" borderId="0" xfId="3" applyFont="1" applyBorder="1"/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6" fillId="0" borderId="0" xfId="0" applyFont="1" applyFill="1" applyAlignment="1">
      <alignment vertical="center"/>
    </xf>
    <xf numFmtId="49" fontId="13" fillId="0" borderId="22" xfId="4" applyNumberFormat="1" applyFont="1" applyFill="1" applyBorder="1" applyAlignment="1">
      <alignment horizont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167" fontId="11" fillId="4" borderId="15" xfId="3" applyNumberFormat="1" applyFont="1" applyFill="1" applyBorder="1" applyAlignment="1">
      <alignment horizontal="center" vertical="center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tabSelected="1" topLeftCell="A58" zoomScaleNormal="100" zoomScaleSheetLayoutView="100" workbookViewId="0">
      <selection activeCell="F65" sqref="F65"/>
    </sheetView>
  </sheetViews>
  <sheetFormatPr baseColWidth="10" defaultRowHeight="12.75" x14ac:dyDescent="0.2"/>
  <cols>
    <col min="1" max="1" width="4.5703125" style="8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78"/>
      <c r="B1" s="78"/>
      <c r="C1" s="78"/>
      <c r="D1" s="86" t="s">
        <v>70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7"/>
      <c r="AH1" s="7" t="s">
        <v>64</v>
      </c>
      <c r="AI1" s="6"/>
      <c r="AJ1" s="6"/>
    </row>
    <row r="2" spans="1:36" ht="12.75" customHeight="1" x14ac:dyDescent="0.2">
      <c r="A2" s="78"/>
      <c r="B2" s="78"/>
      <c r="C2" s="78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7"/>
      <c r="AH2" s="74" t="s">
        <v>65</v>
      </c>
      <c r="AI2" s="6"/>
      <c r="AJ2" s="6"/>
    </row>
    <row r="3" spans="1:36" ht="12.75" customHeight="1" x14ac:dyDescent="0.2">
      <c r="A3" s="78"/>
      <c r="B3" s="78"/>
      <c r="C3" s="7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7"/>
      <c r="AH3" s="75"/>
      <c r="AI3" s="6"/>
      <c r="AJ3" s="6"/>
    </row>
    <row r="4" spans="1:36" ht="13.5" customHeight="1" thickBot="1" x14ac:dyDescent="0.25">
      <c r="A4" s="79"/>
      <c r="B4" s="79"/>
      <c r="C4" s="79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9"/>
      <c r="AH4" s="75"/>
      <c r="AI4" s="6"/>
      <c r="AJ4" s="6"/>
    </row>
    <row r="5" spans="1:36" ht="15" customHeight="1" x14ac:dyDescent="0.2">
      <c r="A5" s="76" t="s">
        <v>66</v>
      </c>
      <c r="B5" s="70" t="s">
        <v>1</v>
      </c>
      <c r="C5" s="72" t="s">
        <v>67</v>
      </c>
      <c r="D5" s="70" t="s">
        <v>2</v>
      </c>
      <c r="E5" s="70" t="s">
        <v>69</v>
      </c>
      <c r="F5" s="80" t="s">
        <v>62</v>
      </c>
      <c r="G5" s="84" t="s">
        <v>58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85"/>
      <c r="AE5" s="43"/>
      <c r="AF5" s="43"/>
      <c r="AG5" s="43"/>
      <c r="AH5" s="82" t="s">
        <v>0</v>
      </c>
    </row>
    <row r="6" spans="1:36" ht="126.75" customHeight="1" thickBot="1" x14ac:dyDescent="0.25">
      <c r="A6" s="77"/>
      <c r="B6" s="71"/>
      <c r="C6" s="73"/>
      <c r="D6" s="71"/>
      <c r="E6" s="71"/>
      <c r="F6" s="81"/>
      <c r="G6" s="26" t="s">
        <v>3</v>
      </c>
      <c r="H6" s="27" t="s">
        <v>4</v>
      </c>
      <c r="I6" s="44" t="s">
        <v>131</v>
      </c>
      <c r="J6" s="44" t="s">
        <v>59</v>
      </c>
      <c r="K6" s="27" t="s">
        <v>60</v>
      </c>
      <c r="L6" s="27" t="s">
        <v>63</v>
      </c>
      <c r="M6" s="27" t="s">
        <v>5</v>
      </c>
      <c r="N6" s="44" t="s">
        <v>124</v>
      </c>
      <c r="O6" s="27" t="s">
        <v>6</v>
      </c>
      <c r="P6" s="27" t="s">
        <v>7</v>
      </c>
      <c r="Q6" s="27" t="s">
        <v>84</v>
      </c>
      <c r="R6" s="44" t="s">
        <v>129</v>
      </c>
      <c r="S6" s="27" t="s">
        <v>8</v>
      </c>
      <c r="T6" s="27" t="s">
        <v>61</v>
      </c>
      <c r="U6" s="27" t="s">
        <v>85</v>
      </c>
      <c r="V6" s="44" t="s">
        <v>118</v>
      </c>
      <c r="W6" s="27" t="s">
        <v>9</v>
      </c>
      <c r="X6" s="27" t="s">
        <v>10</v>
      </c>
      <c r="Y6" s="27" t="s">
        <v>83</v>
      </c>
      <c r="Z6" s="44" t="s">
        <v>130</v>
      </c>
      <c r="AA6" s="27" t="s">
        <v>11</v>
      </c>
      <c r="AB6" s="27" t="s">
        <v>12</v>
      </c>
      <c r="AC6" s="27" t="s">
        <v>13</v>
      </c>
      <c r="AD6" s="28" t="s">
        <v>14</v>
      </c>
      <c r="AE6" s="45" t="s">
        <v>121</v>
      </c>
      <c r="AF6" s="45" t="s">
        <v>122</v>
      </c>
      <c r="AG6" s="45" t="s">
        <v>123</v>
      </c>
      <c r="AH6" s="83"/>
    </row>
    <row r="7" spans="1:36" ht="38.25" x14ac:dyDescent="0.2">
      <c r="A7" s="51">
        <v>1</v>
      </c>
      <c r="B7" s="52" t="s">
        <v>15</v>
      </c>
      <c r="C7" s="53" t="s">
        <v>16</v>
      </c>
      <c r="D7" s="54" t="s">
        <v>17</v>
      </c>
      <c r="E7" s="55">
        <v>2051070114</v>
      </c>
      <c r="F7" s="56">
        <f>SUM(G7:AG7)</f>
        <v>18723678767</v>
      </c>
      <c r="G7" s="24"/>
      <c r="H7" s="25"/>
      <c r="I7" s="25"/>
      <c r="J7" s="36">
        <f>18028443998+1102400000-407165231</f>
        <v>18723678767</v>
      </c>
      <c r="K7" s="35"/>
      <c r="L7" s="49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37"/>
    </row>
    <row r="8" spans="1:36" ht="67.5" x14ac:dyDescent="0.2">
      <c r="A8" s="57">
        <f>A7+1</f>
        <v>2</v>
      </c>
      <c r="B8" s="12" t="s">
        <v>18</v>
      </c>
      <c r="C8" s="13" t="s">
        <v>16</v>
      </c>
      <c r="D8" s="14" t="s">
        <v>17</v>
      </c>
      <c r="E8" s="9">
        <v>2051070115</v>
      </c>
      <c r="F8" s="23">
        <f>SUM(G8:AG8)</f>
        <v>24028670537</v>
      </c>
      <c r="G8" s="21"/>
      <c r="H8" s="15"/>
      <c r="I8" s="15"/>
      <c r="J8" s="34">
        <v>4554432135</v>
      </c>
      <c r="K8" s="34">
        <v>17116454402</v>
      </c>
      <c r="L8" s="34">
        <v>2357784000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37" t="s">
        <v>135</v>
      </c>
    </row>
    <row r="9" spans="1:36" ht="51" x14ac:dyDescent="0.2">
      <c r="A9" s="57">
        <f>A8+1</f>
        <v>3</v>
      </c>
      <c r="B9" s="12" t="s">
        <v>19</v>
      </c>
      <c r="C9" s="13" t="s">
        <v>16</v>
      </c>
      <c r="D9" s="14" t="s">
        <v>20</v>
      </c>
      <c r="E9" s="10">
        <v>2051150102</v>
      </c>
      <c r="F9" s="23">
        <f t="shared" ref="F9:F33" si="0">SUM(G9:AG9)</f>
        <v>2127715092</v>
      </c>
      <c r="G9" s="21"/>
      <c r="H9" s="15"/>
      <c r="I9" s="15"/>
      <c r="J9" s="15"/>
      <c r="K9" s="15"/>
      <c r="L9" s="15"/>
      <c r="M9" s="15"/>
      <c r="N9" s="15"/>
      <c r="O9" s="15">
        <f>200000000*1.04+20000000+10500000</f>
        <v>238500000</v>
      </c>
      <c r="P9" s="15"/>
      <c r="Q9" s="15"/>
      <c r="R9" s="15"/>
      <c r="S9" s="15"/>
      <c r="T9" s="15"/>
      <c r="U9" s="15"/>
      <c r="V9" s="15">
        <v>849215092</v>
      </c>
      <c r="W9" s="15">
        <f>1000000000*1.04</f>
        <v>1040000000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7" t="s">
        <v>136</v>
      </c>
    </row>
    <row r="10" spans="1:36" ht="38.25" x14ac:dyDescent="0.2">
      <c r="A10" s="57">
        <f t="shared" ref="A10:A63" si="1">A9+1</f>
        <v>4</v>
      </c>
      <c r="B10" s="12" t="s">
        <v>21</v>
      </c>
      <c r="C10" s="13" t="s">
        <v>16</v>
      </c>
      <c r="D10" s="16" t="s">
        <v>22</v>
      </c>
      <c r="E10" s="11">
        <v>2051130103</v>
      </c>
      <c r="F10" s="23">
        <f t="shared" si="0"/>
        <v>328922588</v>
      </c>
      <c r="G10" s="21"/>
      <c r="H10" s="15"/>
      <c r="I10" s="15"/>
      <c r="J10" s="15"/>
      <c r="K10" s="15"/>
      <c r="L10" s="15"/>
      <c r="M10" s="15"/>
      <c r="N10" s="15"/>
      <c r="O10" s="15">
        <f>170000000*1.04+19280000</f>
        <v>196080000</v>
      </c>
      <c r="P10" s="15">
        <v>130000000</v>
      </c>
      <c r="Q10" s="15"/>
      <c r="R10" s="15"/>
      <c r="S10" s="15"/>
      <c r="T10" s="15"/>
      <c r="U10" s="15"/>
      <c r="V10" s="15">
        <v>2842588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7" t="s">
        <v>137</v>
      </c>
    </row>
    <row r="11" spans="1:36" ht="63.75" x14ac:dyDescent="0.2">
      <c r="A11" s="57">
        <f t="shared" si="1"/>
        <v>5</v>
      </c>
      <c r="B11" s="12" t="s">
        <v>23</v>
      </c>
      <c r="C11" s="13" t="s">
        <v>16</v>
      </c>
      <c r="D11" s="16" t="s">
        <v>24</v>
      </c>
      <c r="E11" s="11">
        <v>2091310102</v>
      </c>
      <c r="F11" s="23">
        <f t="shared" si="0"/>
        <v>93600000</v>
      </c>
      <c r="G11" s="21"/>
      <c r="H11" s="15"/>
      <c r="I11" s="15"/>
      <c r="J11" s="2"/>
      <c r="K11" s="2"/>
      <c r="L11" s="2"/>
      <c r="M11" s="15"/>
      <c r="N11" s="15"/>
      <c r="O11" s="15">
        <f>90000000*1.04</f>
        <v>93600000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0"/>
    </row>
    <row r="12" spans="1:36" ht="38.25" x14ac:dyDescent="0.2">
      <c r="A12" s="57">
        <f t="shared" si="1"/>
        <v>6</v>
      </c>
      <c r="B12" s="12" t="s">
        <v>25</v>
      </c>
      <c r="C12" s="13" t="s">
        <v>16</v>
      </c>
      <c r="D12" s="13" t="s">
        <v>26</v>
      </c>
      <c r="E12" s="11">
        <v>2051070116</v>
      </c>
      <c r="F12" s="23">
        <f t="shared" si="0"/>
        <v>439369231</v>
      </c>
      <c r="G12" s="21"/>
      <c r="H12" s="15"/>
      <c r="I12" s="15"/>
      <c r="J12" s="15"/>
      <c r="K12" s="15"/>
      <c r="L12" s="15"/>
      <c r="M12" s="15"/>
      <c r="N12" s="15"/>
      <c r="O12" s="15">
        <f>300000000+28160000+21840000</f>
        <v>350000000</v>
      </c>
      <c r="P12" s="15"/>
      <c r="Q12" s="15"/>
      <c r="R12" s="15"/>
      <c r="S12" s="15"/>
      <c r="T12" s="15"/>
      <c r="U12" s="15"/>
      <c r="V12" s="15">
        <v>89369231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7" t="s">
        <v>138</v>
      </c>
    </row>
    <row r="13" spans="1:36" ht="112.5" x14ac:dyDescent="0.2">
      <c r="A13" s="57">
        <f t="shared" si="1"/>
        <v>7</v>
      </c>
      <c r="B13" s="12" t="s">
        <v>27</v>
      </c>
      <c r="C13" s="13" t="s">
        <v>16</v>
      </c>
      <c r="D13" s="3" t="s">
        <v>28</v>
      </c>
      <c r="E13" s="11">
        <v>2061080325</v>
      </c>
      <c r="F13" s="23">
        <f t="shared" si="0"/>
        <v>2148786125</v>
      </c>
      <c r="G13" s="21"/>
      <c r="H13" s="15"/>
      <c r="I13" s="15"/>
      <c r="J13" s="15"/>
      <c r="K13" s="15"/>
      <c r="L13" s="15"/>
      <c r="M13" s="15"/>
      <c r="N13" s="15"/>
      <c r="O13" s="15">
        <f>60000000*1.04</f>
        <v>62400000</v>
      </c>
      <c r="P13" s="15"/>
      <c r="Q13" s="15"/>
      <c r="R13" s="15"/>
      <c r="S13" s="2"/>
      <c r="T13" s="15"/>
      <c r="U13" s="15">
        <v>7122150</v>
      </c>
      <c r="V13" s="15">
        <f>824667762+7122150</f>
        <v>831789912</v>
      </c>
      <c r="W13" s="15"/>
      <c r="X13" s="15">
        <f>(603225000*1.04)</f>
        <v>627354000</v>
      </c>
      <c r="Y13" s="15">
        <v>618719</v>
      </c>
      <c r="Z13" s="15">
        <f>618882625+618719</f>
        <v>619501344</v>
      </c>
      <c r="AA13" s="15"/>
      <c r="AB13" s="15"/>
      <c r="AC13" s="15"/>
      <c r="AD13" s="15"/>
      <c r="AE13" s="15"/>
      <c r="AF13" s="15"/>
      <c r="AG13" s="15"/>
      <c r="AH13" s="37" t="s">
        <v>139</v>
      </c>
    </row>
    <row r="14" spans="1:36" ht="25.5" x14ac:dyDescent="0.2">
      <c r="A14" s="57">
        <f t="shared" si="1"/>
        <v>8</v>
      </c>
      <c r="B14" s="12" t="s">
        <v>12</v>
      </c>
      <c r="C14" s="13" t="s">
        <v>29</v>
      </c>
      <c r="D14" s="3" t="s">
        <v>30</v>
      </c>
      <c r="E14" s="3" t="s">
        <v>68</v>
      </c>
      <c r="F14" s="23">
        <f t="shared" si="0"/>
        <v>25827597</v>
      </c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2"/>
      <c r="T14" s="15"/>
      <c r="U14" s="15"/>
      <c r="V14" s="15"/>
      <c r="W14" s="15"/>
      <c r="X14" s="15"/>
      <c r="Y14" s="15"/>
      <c r="Z14" s="15"/>
      <c r="AA14" s="15"/>
      <c r="AB14" s="15">
        <f>(17235000000*1.04)-AB15-AB16-AB17-AB18-AB19-AB20-AB21-AB22-AB23-AB24-AB25-AB26-AB27-AB28-AB29-AB30-AB31-AB32-AB33-AB35-AB36-AB37-AB38-AB39-AB40-AB41-AB42-AB43-AB44-AB45-AB46-AB47-AB48</f>
        <v>25827597</v>
      </c>
      <c r="AC14" s="15"/>
      <c r="AD14" s="15"/>
      <c r="AE14" s="15"/>
      <c r="AF14" s="15"/>
      <c r="AG14" s="15"/>
      <c r="AH14" s="29"/>
    </row>
    <row r="15" spans="1:36" ht="38.25" x14ac:dyDescent="0.2">
      <c r="A15" s="57" t="s">
        <v>73</v>
      </c>
      <c r="B15" s="12" t="s">
        <v>71</v>
      </c>
      <c r="C15" s="13" t="s">
        <v>16</v>
      </c>
      <c r="D15" s="3" t="s">
        <v>28</v>
      </c>
      <c r="E15" s="11">
        <v>2061080326</v>
      </c>
      <c r="F15" s="23">
        <f t="shared" si="0"/>
        <v>40867692</v>
      </c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2"/>
      <c r="T15" s="15"/>
      <c r="U15" s="15"/>
      <c r="V15" s="15"/>
      <c r="W15" s="15"/>
      <c r="X15" s="15"/>
      <c r="Y15" s="15"/>
      <c r="Z15" s="15"/>
      <c r="AA15" s="15"/>
      <c r="AB15" s="15">
        <f>14735762+26131930</f>
        <v>40867692</v>
      </c>
      <c r="AC15" s="15"/>
      <c r="AD15" s="15"/>
      <c r="AE15" s="15"/>
      <c r="AF15" s="15"/>
      <c r="AG15" s="15"/>
      <c r="AH15" s="37" t="s">
        <v>140</v>
      </c>
    </row>
    <row r="16" spans="1:36" ht="38.25" x14ac:dyDescent="0.2">
      <c r="A16" s="57" t="s">
        <v>74</v>
      </c>
      <c r="B16" s="12" t="s">
        <v>72</v>
      </c>
      <c r="C16" s="13" t="s">
        <v>16</v>
      </c>
      <c r="D16" s="3" t="s">
        <v>28</v>
      </c>
      <c r="E16" s="11">
        <v>2061080328</v>
      </c>
      <c r="F16" s="23">
        <f t="shared" si="0"/>
        <v>16109792</v>
      </c>
      <c r="G16" s="2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"/>
      <c r="T16" s="15"/>
      <c r="U16" s="15"/>
      <c r="V16" s="15"/>
      <c r="W16" s="15"/>
      <c r="X16" s="15"/>
      <c r="Y16" s="15"/>
      <c r="Z16" s="15"/>
      <c r="AA16" s="15"/>
      <c r="AB16" s="15">
        <v>16109792</v>
      </c>
      <c r="AC16" s="15"/>
      <c r="AD16" s="15"/>
      <c r="AE16" s="15"/>
      <c r="AF16" s="15"/>
      <c r="AG16" s="15"/>
      <c r="AH16" s="29"/>
    </row>
    <row r="17" spans="1:40" ht="38.25" x14ac:dyDescent="0.2">
      <c r="A17" s="57" t="s">
        <v>75</v>
      </c>
      <c r="B17" s="12" t="s">
        <v>76</v>
      </c>
      <c r="C17" s="13" t="s">
        <v>29</v>
      </c>
      <c r="D17" s="3" t="s">
        <v>30</v>
      </c>
      <c r="E17" s="11">
        <v>4231910243</v>
      </c>
      <c r="F17" s="23">
        <f t="shared" si="0"/>
        <v>243565023</v>
      </c>
      <c r="G17" s="2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"/>
      <c r="T17" s="15"/>
      <c r="U17" s="15"/>
      <c r="V17" s="15"/>
      <c r="W17" s="15"/>
      <c r="X17" s="15"/>
      <c r="Y17" s="15"/>
      <c r="Z17" s="15"/>
      <c r="AA17" s="15"/>
      <c r="AB17" s="15">
        <v>243565023</v>
      </c>
      <c r="AC17" s="15"/>
      <c r="AD17" s="15"/>
      <c r="AE17" s="15"/>
      <c r="AF17" s="15"/>
      <c r="AG17" s="15"/>
      <c r="AH17" s="29"/>
    </row>
    <row r="18" spans="1:40" ht="123.75" x14ac:dyDescent="0.2">
      <c r="A18" s="57" t="s">
        <v>77</v>
      </c>
      <c r="B18" s="12" t="s">
        <v>79</v>
      </c>
      <c r="C18" s="13" t="s">
        <v>29</v>
      </c>
      <c r="D18" s="3" t="s">
        <v>30</v>
      </c>
      <c r="E18" s="11">
        <v>4231910217</v>
      </c>
      <c r="F18" s="23">
        <f t="shared" si="0"/>
        <v>74780995</v>
      </c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"/>
      <c r="T18" s="15"/>
      <c r="U18" s="15"/>
      <c r="V18" s="15"/>
      <c r="W18" s="15"/>
      <c r="X18" s="15"/>
      <c r="Y18" s="15"/>
      <c r="Z18" s="15"/>
      <c r="AA18" s="15"/>
      <c r="AB18" s="15">
        <f>43707780+7529073+23544142</f>
        <v>74780995</v>
      </c>
      <c r="AC18" s="15"/>
      <c r="AD18" s="15"/>
      <c r="AE18" s="15"/>
      <c r="AF18" s="15"/>
      <c r="AG18" s="15"/>
      <c r="AH18" s="37" t="s">
        <v>182</v>
      </c>
    </row>
    <row r="19" spans="1:40" ht="38.25" x14ac:dyDescent="0.2">
      <c r="A19" s="57" t="s">
        <v>78</v>
      </c>
      <c r="B19" s="12" t="s">
        <v>80</v>
      </c>
      <c r="C19" s="13" t="s">
        <v>29</v>
      </c>
      <c r="D19" s="3" t="s">
        <v>30</v>
      </c>
      <c r="E19" s="11">
        <v>4231910242</v>
      </c>
      <c r="F19" s="23">
        <f t="shared" si="0"/>
        <v>43570401</v>
      </c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"/>
      <c r="T19" s="15"/>
      <c r="U19" s="15"/>
      <c r="V19" s="15"/>
      <c r="W19" s="15"/>
      <c r="X19" s="15"/>
      <c r="Y19" s="15"/>
      <c r="Z19" s="15"/>
      <c r="AA19" s="15"/>
      <c r="AB19" s="15">
        <v>43570401</v>
      </c>
      <c r="AC19" s="15"/>
      <c r="AD19" s="15"/>
      <c r="AE19" s="15"/>
      <c r="AF19" s="15"/>
      <c r="AG19" s="15"/>
      <c r="AH19" s="37" t="s">
        <v>160</v>
      </c>
    </row>
    <row r="20" spans="1:40" ht="78.75" x14ac:dyDescent="0.2">
      <c r="A20" s="57" t="s">
        <v>81</v>
      </c>
      <c r="B20" s="38" t="s">
        <v>82</v>
      </c>
      <c r="C20" s="13" t="s">
        <v>29</v>
      </c>
      <c r="D20" s="3" t="s">
        <v>30</v>
      </c>
      <c r="E20" s="11">
        <v>4231910233</v>
      </c>
      <c r="F20" s="23">
        <f t="shared" si="0"/>
        <v>492915188</v>
      </c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"/>
      <c r="T20" s="15"/>
      <c r="U20" s="15"/>
      <c r="V20" s="15"/>
      <c r="W20" s="15"/>
      <c r="X20" s="15"/>
      <c r="Y20" s="15"/>
      <c r="Z20" s="15"/>
      <c r="AA20" s="15"/>
      <c r="AB20" s="15">
        <f>300000000+192915188</f>
        <v>492915188</v>
      </c>
      <c r="AC20" s="15"/>
      <c r="AD20" s="15"/>
      <c r="AE20" s="15"/>
      <c r="AF20" s="15"/>
      <c r="AG20" s="15"/>
      <c r="AH20" s="37" t="s">
        <v>161</v>
      </c>
    </row>
    <row r="21" spans="1:40" ht="38.25" x14ac:dyDescent="0.2">
      <c r="A21" s="57" t="s">
        <v>87</v>
      </c>
      <c r="B21" s="38" t="s">
        <v>91</v>
      </c>
      <c r="C21" s="13" t="s">
        <v>29</v>
      </c>
      <c r="D21" s="3" t="s">
        <v>30</v>
      </c>
      <c r="E21" s="11">
        <v>4231910245</v>
      </c>
      <c r="F21" s="23">
        <f t="shared" si="0"/>
        <v>558714796</v>
      </c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"/>
      <c r="T21" s="15"/>
      <c r="U21" s="15"/>
      <c r="V21" s="15"/>
      <c r="W21" s="15"/>
      <c r="X21" s="15"/>
      <c r="Y21" s="15"/>
      <c r="Z21" s="15"/>
      <c r="AA21" s="15"/>
      <c r="AB21" s="15">
        <v>558714796</v>
      </c>
      <c r="AC21" s="15"/>
      <c r="AD21" s="15"/>
      <c r="AE21" s="15"/>
      <c r="AF21" s="15"/>
      <c r="AG21" s="15"/>
      <c r="AH21" s="37" t="s">
        <v>162</v>
      </c>
    </row>
    <row r="22" spans="1:40" ht="38.25" x14ac:dyDescent="0.2">
      <c r="A22" s="57" t="s">
        <v>88</v>
      </c>
      <c r="B22" s="38" t="s">
        <v>90</v>
      </c>
      <c r="C22" s="13" t="s">
        <v>29</v>
      </c>
      <c r="D22" s="3" t="s">
        <v>30</v>
      </c>
      <c r="E22" s="11">
        <v>4231910246</v>
      </c>
      <c r="F22" s="23">
        <f t="shared" si="0"/>
        <v>26450000</v>
      </c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2"/>
      <c r="T22" s="15"/>
      <c r="U22" s="15"/>
      <c r="V22" s="15"/>
      <c r="W22" s="15"/>
      <c r="X22" s="15"/>
      <c r="Y22" s="15"/>
      <c r="Z22" s="15"/>
      <c r="AA22" s="15"/>
      <c r="AB22" s="15">
        <v>26450000</v>
      </c>
      <c r="AC22" s="15"/>
      <c r="AD22" s="15"/>
      <c r="AE22" s="15"/>
      <c r="AF22" s="15"/>
      <c r="AG22" s="15"/>
      <c r="AH22" s="37" t="s">
        <v>141</v>
      </c>
    </row>
    <row r="23" spans="1:40" ht="38.25" x14ac:dyDescent="0.2">
      <c r="A23" s="57" t="s">
        <v>89</v>
      </c>
      <c r="B23" s="38" t="s">
        <v>92</v>
      </c>
      <c r="C23" s="13" t="s">
        <v>29</v>
      </c>
      <c r="D23" s="3" t="s">
        <v>30</v>
      </c>
      <c r="E23" s="11">
        <v>4231910247</v>
      </c>
      <c r="F23" s="23">
        <f t="shared" si="0"/>
        <v>255869628</v>
      </c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"/>
      <c r="T23" s="15"/>
      <c r="U23" s="15"/>
      <c r="V23" s="15"/>
      <c r="W23" s="15"/>
      <c r="X23" s="15"/>
      <c r="Y23" s="15"/>
      <c r="Z23" s="15"/>
      <c r="AA23" s="15"/>
      <c r="AB23" s="15">
        <v>255869628</v>
      </c>
      <c r="AC23" s="15"/>
      <c r="AD23" s="15"/>
      <c r="AE23" s="15"/>
      <c r="AF23" s="15"/>
      <c r="AG23" s="15"/>
      <c r="AH23" s="37" t="s">
        <v>142</v>
      </c>
    </row>
    <row r="24" spans="1:40" ht="78.75" x14ac:dyDescent="0.2">
      <c r="A24" s="57" t="s">
        <v>93</v>
      </c>
      <c r="B24" s="38" t="s">
        <v>94</v>
      </c>
      <c r="C24" s="13" t="s">
        <v>29</v>
      </c>
      <c r="D24" s="3" t="s">
        <v>30</v>
      </c>
      <c r="E24" s="11">
        <v>4231910248</v>
      </c>
      <c r="F24" s="23">
        <f t="shared" si="0"/>
        <v>75599784</v>
      </c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"/>
      <c r="T24" s="15"/>
      <c r="U24" s="15"/>
      <c r="V24" s="15"/>
      <c r="W24" s="15"/>
      <c r="X24" s="15"/>
      <c r="Y24" s="15"/>
      <c r="Z24" s="15"/>
      <c r="AA24" s="15"/>
      <c r="AB24" s="15">
        <f>70999089+4600695</f>
        <v>75599784</v>
      </c>
      <c r="AC24" s="15"/>
      <c r="AD24" s="15"/>
      <c r="AE24" s="15"/>
      <c r="AF24" s="15"/>
      <c r="AG24" s="15"/>
      <c r="AH24" s="37" t="s">
        <v>170</v>
      </c>
    </row>
    <row r="25" spans="1:40" ht="33.75" x14ac:dyDescent="0.25">
      <c r="A25" s="57" t="s">
        <v>95</v>
      </c>
      <c r="B25" s="38" t="s">
        <v>96</v>
      </c>
      <c r="C25" s="13" t="s">
        <v>29</v>
      </c>
      <c r="D25" s="11" t="s">
        <v>30</v>
      </c>
      <c r="E25" s="11">
        <v>4231910249</v>
      </c>
      <c r="F25" s="23">
        <f t="shared" si="0"/>
        <v>250000000</v>
      </c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2"/>
      <c r="T25" s="15"/>
      <c r="U25" s="15"/>
      <c r="V25" s="15"/>
      <c r="W25" s="15"/>
      <c r="X25" s="15"/>
      <c r="Y25" s="15"/>
      <c r="Z25" s="15"/>
      <c r="AA25" s="15"/>
      <c r="AB25" s="15">
        <v>250000000</v>
      </c>
      <c r="AC25" s="15"/>
      <c r="AD25" s="15"/>
      <c r="AE25" s="15"/>
      <c r="AF25" s="15"/>
      <c r="AG25" s="15"/>
      <c r="AH25" s="37" t="s">
        <v>143</v>
      </c>
      <c r="AN25" s="42"/>
    </row>
    <row r="26" spans="1:40" ht="33.75" x14ac:dyDescent="0.2">
      <c r="A26" s="57" t="s">
        <v>103</v>
      </c>
      <c r="B26" s="38" t="s">
        <v>104</v>
      </c>
      <c r="C26" s="13" t="s">
        <v>29</v>
      </c>
      <c r="D26" s="11" t="s">
        <v>30</v>
      </c>
      <c r="E26" s="11">
        <v>4231910230</v>
      </c>
      <c r="F26" s="23">
        <f t="shared" si="0"/>
        <v>66512926</v>
      </c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2"/>
      <c r="T26" s="15"/>
      <c r="U26" s="15"/>
      <c r="V26" s="15"/>
      <c r="W26" s="15"/>
      <c r="X26" s="15"/>
      <c r="Y26" s="15"/>
      <c r="Z26" s="15"/>
      <c r="AA26" s="15"/>
      <c r="AB26" s="15">
        <v>66512926</v>
      </c>
      <c r="AC26" s="15"/>
      <c r="AD26" s="15"/>
      <c r="AE26" s="15"/>
      <c r="AF26" s="15"/>
      <c r="AG26" s="15"/>
      <c r="AH26" s="37" t="s">
        <v>163</v>
      </c>
    </row>
    <row r="27" spans="1:40" ht="38.25" x14ac:dyDescent="0.2">
      <c r="A27" s="57" t="s">
        <v>102</v>
      </c>
      <c r="B27" s="38" t="s">
        <v>105</v>
      </c>
      <c r="C27" s="13" t="s">
        <v>29</v>
      </c>
      <c r="D27" s="11" t="s">
        <v>30</v>
      </c>
      <c r="E27" s="11">
        <v>4231910224</v>
      </c>
      <c r="F27" s="23">
        <f t="shared" si="0"/>
        <v>3300000</v>
      </c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2"/>
      <c r="T27" s="15"/>
      <c r="U27" s="15"/>
      <c r="V27" s="15"/>
      <c r="W27" s="15"/>
      <c r="X27" s="15"/>
      <c r="Y27" s="15"/>
      <c r="Z27" s="15"/>
      <c r="AA27" s="15"/>
      <c r="AB27" s="15">
        <v>3300000</v>
      </c>
      <c r="AC27" s="15"/>
      <c r="AD27" s="15"/>
      <c r="AE27" s="15"/>
      <c r="AF27" s="15"/>
      <c r="AG27" s="15"/>
      <c r="AH27" s="37" t="s">
        <v>144</v>
      </c>
    </row>
    <row r="28" spans="1:40" ht="45" x14ac:dyDescent="0.2">
      <c r="A28" s="57" t="s">
        <v>106</v>
      </c>
      <c r="B28" s="38" t="s">
        <v>107</v>
      </c>
      <c r="C28" s="13" t="s">
        <v>29</v>
      </c>
      <c r="D28" s="11" t="s">
        <v>30</v>
      </c>
      <c r="E28" s="11">
        <v>4231910250</v>
      </c>
      <c r="F28" s="23">
        <f t="shared" si="0"/>
        <v>1975909091</v>
      </c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2"/>
      <c r="T28" s="15"/>
      <c r="U28" s="15"/>
      <c r="V28" s="15"/>
      <c r="W28" s="15"/>
      <c r="X28" s="15"/>
      <c r="Y28" s="15"/>
      <c r="Z28" s="15"/>
      <c r="AA28" s="15"/>
      <c r="AB28" s="15">
        <v>1975909091</v>
      </c>
      <c r="AC28" s="15"/>
      <c r="AD28" s="15"/>
      <c r="AE28" s="15"/>
      <c r="AF28" s="15"/>
      <c r="AG28" s="15"/>
      <c r="AH28" s="37" t="s">
        <v>145</v>
      </c>
    </row>
    <row r="29" spans="1:40" ht="38.25" x14ac:dyDescent="0.2">
      <c r="A29" s="57" t="s">
        <v>108</v>
      </c>
      <c r="B29" s="38" t="s">
        <v>112</v>
      </c>
      <c r="C29" s="13" t="s">
        <v>29</v>
      </c>
      <c r="D29" s="11" t="s">
        <v>30</v>
      </c>
      <c r="E29" s="11">
        <v>4231910251</v>
      </c>
      <c r="F29" s="23">
        <f t="shared" si="0"/>
        <v>319002710</v>
      </c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2"/>
      <c r="T29" s="15"/>
      <c r="U29" s="15"/>
      <c r="V29" s="15"/>
      <c r="W29" s="15"/>
      <c r="X29" s="15"/>
      <c r="Y29" s="15"/>
      <c r="Z29" s="15"/>
      <c r="AA29" s="15"/>
      <c r="AB29" s="15">
        <v>319002710</v>
      </c>
      <c r="AC29" s="21"/>
      <c r="AD29" s="21"/>
      <c r="AE29" s="21"/>
      <c r="AF29" s="21"/>
      <c r="AG29" s="21"/>
      <c r="AH29" s="37" t="s">
        <v>146</v>
      </c>
    </row>
    <row r="30" spans="1:40" ht="51" x14ac:dyDescent="0.2">
      <c r="A30" s="57" t="s">
        <v>109</v>
      </c>
      <c r="B30" s="38" t="s">
        <v>113</v>
      </c>
      <c r="C30" s="13" t="s">
        <v>29</v>
      </c>
      <c r="D30" s="11" t="s">
        <v>30</v>
      </c>
      <c r="E30" s="11">
        <v>4231910252</v>
      </c>
      <c r="F30" s="23">
        <f t="shared" si="0"/>
        <v>1512623848</v>
      </c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"/>
      <c r="T30" s="15"/>
      <c r="U30" s="15"/>
      <c r="V30" s="15"/>
      <c r="W30" s="15"/>
      <c r="X30" s="15"/>
      <c r="Y30" s="15"/>
      <c r="Z30" s="15"/>
      <c r="AA30" s="15"/>
      <c r="AB30" s="15">
        <v>1512623848</v>
      </c>
      <c r="AC30" s="21"/>
      <c r="AD30" s="21"/>
      <c r="AE30" s="21"/>
      <c r="AF30" s="21"/>
      <c r="AG30" s="21"/>
      <c r="AH30" s="37" t="s">
        <v>147</v>
      </c>
    </row>
    <row r="31" spans="1:40" ht="51" x14ac:dyDescent="0.2">
      <c r="A31" s="57" t="s">
        <v>110</v>
      </c>
      <c r="B31" s="38" t="s">
        <v>114</v>
      </c>
      <c r="C31" s="13" t="s">
        <v>29</v>
      </c>
      <c r="D31" s="11" t="s">
        <v>30</v>
      </c>
      <c r="E31" s="11">
        <v>4231910254</v>
      </c>
      <c r="F31" s="23">
        <f t="shared" si="0"/>
        <v>1240200000</v>
      </c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"/>
      <c r="T31" s="15"/>
      <c r="U31" s="15"/>
      <c r="V31" s="15"/>
      <c r="W31" s="15"/>
      <c r="X31" s="15"/>
      <c r="Y31" s="15"/>
      <c r="Z31" s="15"/>
      <c r="AA31" s="15"/>
      <c r="AB31" s="15">
        <v>1240200000</v>
      </c>
      <c r="AC31" s="21"/>
      <c r="AD31" s="21"/>
      <c r="AE31" s="21"/>
      <c r="AF31" s="21"/>
      <c r="AG31" s="21"/>
      <c r="AH31" s="37" t="s">
        <v>148</v>
      </c>
    </row>
    <row r="32" spans="1:40" ht="45" x14ac:dyDescent="0.2">
      <c r="A32" s="57" t="s">
        <v>111</v>
      </c>
      <c r="B32" s="38" t="s">
        <v>115</v>
      </c>
      <c r="C32" s="13" t="s">
        <v>29</v>
      </c>
      <c r="D32" s="11" t="s">
        <v>30</v>
      </c>
      <c r="E32" s="11">
        <v>4231910253</v>
      </c>
      <c r="F32" s="23">
        <f t="shared" si="0"/>
        <v>1569495212</v>
      </c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2"/>
      <c r="T32" s="15"/>
      <c r="U32" s="15"/>
      <c r="V32" s="15"/>
      <c r="W32" s="15"/>
      <c r="X32" s="15"/>
      <c r="Y32" s="15"/>
      <c r="Z32" s="15"/>
      <c r="AA32" s="15"/>
      <c r="AB32" s="15">
        <v>1569495212</v>
      </c>
      <c r="AC32" s="21"/>
      <c r="AD32" s="21"/>
      <c r="AE32" s="21"/>
      <c r="AF32" s="21"/>
      <c r="AG32" s="21"/>
      <c r="AH32" s="37" t="s">
        <v>164</v>
      </c>
    </row>
    <row r="33" spans="1:34" ht="33.75" x14ac:dyDescent="0.2">
      <c r="A33" s="57" t="s">
        <v>116</v>
      </c>
      <c r="B33" s="38" t="s">
        <v>117</v>
      </c>
      <c r="C33" s="13" t="s">
        <v>29</v>
      </c>
      <c r="D33" s="11" t="s">
        <v>30</v>
      </c>
      <c r="E33" s="11">
        <v>4231910255</v>
      </c>
      <c r="F33" s="23">
        <f t="shared" si="0"/>
        <v>226086956</v>
      </c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2"/>
      <c r="T33" s="15"/>
      <c r="U33" s="15"/>
      <c r="V33" s="15"/>
      <c r="W33" s="15"/>
      <c r="X33" s="15"/>
      <c r="Y33" s="15"/>
      <c r="Z33" s="15"/>
      <c r="AA33" s="15"/>
      <c r="AB33" s="15">
        <v>226086956</v>
      </c>
      <c r="AC33" s="21"/>
      <c r="AD33" s="21"/>
      <c r="AE33" s="21"/>
      <c r="AF33" s="21"/>
      <c r="AG33" s="21"/>
      <c r="AH33" s="37" t="s">
        <v>149</v>
      </c>
    </row>
    <row r="34" spans="1:34" ht="56.25" x14ac:dyDescent="0.2">
      <c r="A34" s="46" t="s">
        <v>119</v>
      </c>
      <c r="B34" s="47" t="s">
        <v>120</v>
      </c>
      <c r="C34" s="13"/>
      <c r="D34" s="13"/>
      <c r="E34" s="3" t="s">
        <v>68</v>
      </c>
      <c r="F34" s="23">
        <f>SUM(G34:AG34)</f>
        <v>4553188110</v>
      </c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2"/>
      <c r="T34" s="15"/>
      <c r="U34" s="15"/>
      <c r="V34" s="15"/>
      <c r="W34" s="15"/>
      <c r="X34" s="15"/>
      <c r="Y34" s="15"/>
      <c r="Z34" s="15"/>
      <c r="AA34" s="15"/>
      <c r="AB34" s="15">
        <v>4553188110</v>
      </c>
      <c r="AC34" s="21"/>
      <c r="AD34" s="21"/>
      <c r="AE34" s="21"/>
      <c r="AF34" s="21"/>
      <c r="AG34" s="21"/>
      <c r="AH34" s="37" t="s">
        <v>150</v>
      </c>
    </row>
    <row r="35" spans="1:34" ht="38.25" x14ac:dyDescent="0.2">
      <c r="A35" s="57" t="s">
        <v>132</v>
      </c>
      <c r="B35" s="38" t="s">
        <v>133</v>
      </c>
      <c r="C35" s="13" t="s">
        <v>29</v>
      </c>
      <c r="D35" s="3" t="s">
        <v>30</v>
      </c>
      <c r="E35" s="11">
        <v>4231910256</v>
      </c>
      <c r="F35" s="23">
        <f t="shared" ref="F35:F48" si="2">SUM(G35:AG35)</f>
        <v>909090909</v>
      </c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2"/>
      <c r="T35" s="15"/>
      <c r="U35" s="15"/>
      <c r="V35" s="15"/>
      <c r="W35" s="15"/>
      <c r="X35" s="15"/>
      <c r="Y35" s="15"/>
      <c r="Z35" s="15"/>
      <c r="AA35" s="15"/>
      <c r="AB35" s="15">
        <v>909090909</v>
      </c>
      <c r="AC35" s="21"/>
      <c r="AD35" s="21"/>
      <c r="AE35" s="21"/>
      <c r="AF35" s="21"/>
      <c r="AG35" s="21"/>
      <c r="AH35" s="37" t="s">
        <v>151</v>
      </c>
    </row>
    <row r="36" spans="1:34" ht="33.75" x14ac:dyDescent="0.2">
      <c r="A36" s="57" t="s">
        <v>134</v>
      </c>
      <c r="B36" s="38" t="s">
        <v>165</v>
      </c>
      <c r="C36" s="13" t="s">
        <v>29</v>
      </c>
      <c r="D36" s="3" t="s">
        <v>30</v>
      </c>
      <c r="E36" s="11">
        <v>4231910257</v>
      </c>
      <c r="F36" s="23">
        <f t="shared" si="2"/>
        <v>434634364</v>
      </c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2"/>
      <c r="T36" s="15"/>
      <c r="U36" s="15"/>
      <c r="V36" s="15"/>
      <c r="W36" s="15"/>
      <c r="X36" s="15"/>
      <c r="Y36" s="15"/>
      <c r="Z36" s="15"/>
      <c r="AA36" s="15"/>
      <c r="AB36" s="15">
        <v>434634364</v>
      </c>
      <c r="AC36" s="21"/>
      <c r="AD36" s="21"/>
      <c r="AE36" s="21"/>
      <c r="AF36" s="21"/>
      <c r="AG36" s="21"/>
      <c r="AH36" s="37" t="s">
        <v>166</v>
      </c>
    </row>
    <row r="37" spans="1:34" ht="51" x14ac:dyDescent="0.2">
      <c r="A37" s="46" t="s">
        <v>167</v>
      </c>
      <c r="B37" s="38" t="s">
        <v>168</v>
      </c>
      <c r="C37" s="13" t="s">
        <v>29</v>
      </c>
      <c r="D37" s="3" t="s">
        <v>30</v>
      </c>
      <c r="E37" s="11">
        <v>4231910258</v>
      </c>
      <c r="F37" s="23">
        <f t="shared" si="2"/>
        <v>1120562303</v>
      </c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2"/>
      <c r="T37" s="15"/>
      <c r="U37" s="15"/>
      <c r="V37" s="15"/>
      <c r="W37" s="15"/>
      <c r="X37" s="15"/>
      <c r="Y37" s="15"/>
      <c r="Z37" s="15"/>
      <c r="AA37" s="15"/>
      <c r="AB37" s="15">
        <v>1120562303</v>
      </c>
      <c r="AC37" s="21"/>
      <c r="AD37" s="21"/>
      <c r="AE37" s="21"/>
      <c r="AF37" s="21"/>
      <c r="AG37" s="21"/>
      <c r="AH37" s="37" t="s">
        <v>169</v>
      </c>
    </row>
    <row r="38" spans="1:34" ht="101.25" x14ac:dyDescent="0.2">
      <c r="A38" s="46" t="s">
        <v>172</v>
      </c>
      <c r="B38" s="65" t="s">
        <v>173</v>
      </c>
      <c r="C38" s="13" t="s">
        <v>43</v>
      </c>
      <c r="D38" s="3" t="s">
        <v>45</v>
      </c>
      <c r="E38" s="11">
        <v>3181560111</v>
      </c>
      <c r="F38" s="23">
        <f t="shared" si="2"/>
        <v>1285000000</v>
      </c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2"/>
      <c r="T38" s="15"/>
      <c r="U38" s="15"/>
      <c r="V38" s="15"/>
      <c r="W38" s="15"/>
      <c r="X38" s="15"/>
      <c r="Y38" s="15"/>
      <c r="Z38" s="15"/>
      <c r="AA38" s="15"/>
      <c r="AB38" s="15">
        <f>1500000000-215000000</f>
        <v>1285000000</v>
      </c>
      <c r="AC38" s="21"/>
      <c r="AD38" s="21"/>
      <c r="AE38" s="21"/>
      <c r="AF38" s="21"/>
      <c r="AG38" s="21"/>
      <c r="AH38" s="37" t="s">
        <v>205</v>
      </c>
    </row>
    <row r="39" spans="1:34" ht="51" x14ac:dyDescent="0.2">
      <c r="A39" s="46" t="s">
        <v>174</v>
      </c>
      <c r="B39" s="12" t="s">
        <v>175</v>
      </c>
      <c r="C39" s="13" t="s">
        <v>29</v>
      </c>
      <c r="D39" s="3" t="s">
        <v>30</v>
      </c>
      <c r="E39" s="11">
        <v>4231910261</v>
      </c>
      <c r="F39" s="23">
        <f t="shared" si="2"/>
        <v>727272700</v>
      </c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2"/>
      <c r="T39" s="15"/>
      <c r="U39" s="15"/>
      <c r="V39" s="15"/>
      <c r="W39" s="15"/>
      <c r="X39" s="15"/>
      <c r="Y39" s="15"/>
      <c r="Z39" s="15"/>
      <c r="AA39" s="15"/>
      <c r="AB39" s="15">
        <v>727272700</v>
      </c>
      <c r="AC39" s="21"/>
      <c r="AD39" s="21"/>
      <c r="AE39" s="21"/>
      <c r="AF39" s="21"/>
      <c r="AG39" s="21"/>
      <c r="AH39" s="37" t="s">
        <v>176</v>
      </c>
    </row>
    <row r="40" spans="1:34" ht="33.75" x14ac:dyDescent="0.2">
      <c r="A40" s="46" t="s">
        <v>178</v>
      </c>
      <c r="B40" s="12" t="s">
        <v>180</v>
      </c>
      <c r="C40" s="13" t="s">
        <v>29</v>
      </c>
      <c r="D40" s="3" t="s">
        <v>30</v>
      </c>
      <c r="E40" s="11">
        <v>4231910259</v>
      </c>
      <c r="F40" s="23">
        <f t="shared" si="2"/>
        <v>540000000</v>
      </c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2"/>
      <c r="T40" s="15"/>
      <c r="U40" s="15"/>
      <c r="V40" s="15"/>
      <c r="W40" s="15"/>
      <c r="X40" s="15"/>
      <c r="Y40" s="15"/>
      <c r="Z40" s="15"/>
      <c r="AA40" s="15"/>
      <c r="AB40" s="15">
        <v>540000000</v>
      </c>
      <c r="AC40" s="21"/>
      <c r="AD40" s="21"/>
      <c r="AE40" s="21"/>
      <c r="AF40" s="21"/>
      <c r="AG40" s="21"/>
      <c r="AH40" s="66" t="s">
        <v>177</v>
      </c>
    </row>
    <row r="41" spans="1:34" ht="45" x14ac:dyDescent="0.2">
      <c r="A41" s="46" t="s">
        <v>179</v>
      </c>
      <c r="B41" s="12" t="s">
        <v>181</v>
      </c>
      <c r="C41" s="13" t="s">
        <v>29</v>
      </c>
      <c r="D41" s="3" t="s">
        <v>30</v>
      </c>
      <c r="E41" s="11">
        <v>4231910260</v>
      </c>
      <c r="F41" s="23">
        <f t="shared" si="2"/>
        <v>535714286</v>
      </c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2"/>
      <c r="T41" s="15"/>
      <c r="U41" s="15"/>
      <c r="V41" s="15"/>
      <c r="W41" s="15"/>
      <c r="X41" s="15"/>
      <c r="Y41" s="15"/>
      <c r="Z41" s="15"/>
      <c r="AA41" s="15"/>
      <c r="AB41" s="15">
        <v>535714286</v>
      </c>
      <c r="AC41" s="21"/>
      <c r="AD41" s="21"/>
      <c r="AE41" s="21"/>
      <c r="AF41" s="21"/>
      <c r="AG41" s="21"/>
      <c r="AH41" s="37" t="s">
        <v>185</v>
      </c>
    </row>
    <row r="42" spans="1:34" ht="33.75" x14ac:dyDescent="0.2">
      <c r="A42" s="46" t="s">
        <v>183</v>
      </c>
      <c r="B42" s="12" t="s">
        <v>184</v>
      </c>
      <c r="C42" s="13" t="s">
        <v>29</v>
      </c>
      <c r="D42" s="3" t="s">
        <v>30</v>
      </c>
      <c r="E42" s="11">
        <v>4231910263</v>
      </c>
      <c r="F42" s="23">
        <f t="shared" si="2"/>
        <v>454545455</v>
      </c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2"/>
      <c r="T42" s="15"/>
      <c r="U42" s="15"/>
      <c r="V42" s="15"/>
      <c r="W42" s="15"/>
      <c r="X42" s="15"/>
      <c r="Y42" s="15"/>
      <c r="Z42" s="15"/>
      <c r="AA42" s="15"/>
      <c r="AB42" s="15">
        <v>454545455</v>
      </c>
      <c r="AC42" s="21"/>
      <c r="AD42" s="21"/>
      <c r="AE42" s="21"/>
      <c r="AF42" s="21"/>
      <c r="AG42" s="21"/>
      <c r="AH42" s="37" t="s">
        <v>186</v>
      </c>
    </row>
    <row r="43" spans="1:34" ht="33.75" x14ac:dyDescent="0.2">
      <c r="A43" s="46" t="s">
        <v>188</v>
      </c>
      <c r="B43" s="12" t="s">
        <v>189</v>
      </c>
      <c r="C43" s="13" t="s">
        <v>29</v>
      </c>
      <c r="D43" s="3" t="s">
        <v>30</v>
      </c>
      <c r="E43" s="11">
        <v>4231910267</v>
      </c>
      <c r="F43" s="23">
        <f t="shared" si="2"/>
        <v>1200000000</v>
      </c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2"/>
      <c r="T43" s="15"/>
      <c r="U43" s="15"/>
      <c r="V43" s="15"/>
      <c r="W43" s="15"/>
      <c r="X43" s="15"/>
      <c r="Y43" s="15"/>
      <c r="Z43" s="15"/>
      <c r="AA43" s="15"/>
      <c r="AB43" s="15">
        <v>1200000000</v>
      </c>
      <c r="AC43" s="21"/>
      <c r="AD43" s="21"/>
      <c r="AE43" s="21"/>
      <c r="AF43" s="21"/>
      <c r="AG43" s="21"/>
      <c r="AH43" s="37" t="s">
        <v>187</v>
      </c>
    </row>
    <row r="44" spans="1:34" ht="33.75" x14ac:dyDescent="0.2">
      <c r="A44" s="46" t="s">
        <v>193</v>
      </c>
      <c r="B44" s="12" t="s">
        <v>190</v>
      </c>
      <c r="C44" s="13" t="s">
        <v>29</v>
      </c>
      <c r="D44" s="3" t="s">
        <v>30</v>
      </c>
      <c r="E44" s="11">
        <v>4231910265</v>
      </c>
      <c r="F44" s="23">
        <f t="shared" si="2"/>
        <v>79785000</v>
      </c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2"/>
      <c r="T44" s="15"/>
      <c r="U44" s="15"/>
      <c r="V44" s="15"/>
      <c r="W44" s="15"/>
      <c r="X44" s="15"/>
      <c r="Y44" s="15"/>
      <c r="Z44" s="15"/>
      <c r="AA44" s="15"/>
      <c r="AB44" s="15">
        <v>79785000</v>
      </c>
      <c r="AC44" s="21"/>
      <c r="AD44" s="21"/>
      <c r="AE44" s="21"/>
      <c r="AF44" s="21"/>
      <c r="AG44" s="21"/>
      <c r="AH44" s="37" t="s">
        <v>198</v>
      </c>
    </row>
    <row r="45" spans="1:34" ht="33.75" x14ac:dyDescent="0.2">
      <c r="A45" s="46" t="s">
        <v>194</v>
      </c>
      <c r="B45" s="12" t="s">
        <v>191</v>
      </c>
      <c r="C45" s="13" t="s">
        <v>29</v>
      </c>
      <c r="D45" s="3" t="s">
        <v>30</v>
      </c>
      <c r="E45" s="11">
        <v>4231910262</v>
      </c>
      <c r="F45" s="23">
        <f t="shared" si="2"/>
        <v>90830000</v>
      </c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2"/>
      <c r="T45" s="15"/>
      <c r="U45" s="15"/>
      <c r="V45" s="15"/>
      <c r="W45" s="15"/>
      <c r="X45" s="15"/>
      <c r="Y45" s="15"/>
      <c r="Z45" s="15"/>
      <c r="AA45" s="15"/>
      <c r="AB45" s="15">
        <v>90830000</v>
      </c>
      <c r="AC45" s="21"/>
      <c r="AD45" s="21"/>
      <c r="AE45" s="21"/>
      <c r="AF45" s="21"/>
      <c r="AG45" s="21"/>
      <c r="AH45" s="37" t="s">
        <v>199</v>
      </c>
    </row>
    <row r="46" spans="1:34" ht="33.75" x14ac:dyDescent="0.2">
      <c r="A46" s="46" t="s">
        <v>195</v>
      </c>
      <c r="B46" s="12" t="s">
        <v>203</v>
      </c>
      <c r="C46" s="13" t="s">
        <v>29</v>
      </c>
      <c r="D46" s="3" t="s">
        <v>30</v>
      </c>
      <c r="E46" s="11">
        <v>4231910266</v>
      </c>
      <c r="F46" s="23">
        <f t="shared" si="2"/>
        <v>355668436</v>
      </c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2"/>
      <c r="T46" s="15"/>
      <c r="U46" s="15"/>
      <c r="V46" s="15"/>
      <c r="W46" s="15"/>
      <c r="X46" s="15"/>
      <c r="Y46" s="15"/>
      <c r="Z46" s="15"/>
      <c r="AA46" s="15"/>
      <c r="AB46" s="15">
        <v>355668436</v>
      </c>
      <c r="AC46" s="21"/>
      <c r="AD46" s="21"/>
      <c r="AE46" s="21"/>
      <c r="AF46" s="21"/>
      <c r="AG46" s="21"/>
      <c r="AH46" s="37" t="s">
        <v>204</v>
      </c>
    </row>
    <row r="47" spans="1:34" ht="33.75" x14ac:dyDescent="0.2">
      <c r="A47" s="46" t="s">
        <v>196</v>
      </c>
      <c r="B47" s="12" t="s">
        <v>192</v>
      </c>
      <c r="C47" s="13" t="s">
        <v>29</v>
      </c>
      <c r="D47" s="3" t="s">
        <v>34</v>
      </c>
      <c r="E47" s="11">
        <v>4251800111</v>
      </c>
      <c r="F47" s="23">
        <f t="shared" si="2"/>
        <v>790769173</v>
      </c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2"/>
      <c r="T47" s="15"/>
      <c r="U47" s="15"/>
      <c r="V47" s="15"/>
      <c r="W47" s="15"/>
      <c r="X47" s="15"/>
      <c r="Y47" s="15"/>
      <c r="Z47" s="15"/>
      <c r="AA47" s="15"/>
      <c r="AB47" s="15">
        <v>790769173</v>
      </c>
      <c r="AC47" s="21"/>
      <c r="AD47" s="21"/>
      <c r="AE47" s="21"/>
      <c r="AF47" s="21"/>
      <c r="AG47" s="21"/>
      <c r="AH47" s="37" t="s">
        <v>200</v>
      </c>
    </row>
    <row r="48" spans="1:34" ht="38.25" x14ac:dyDescent="0.2">
      <c r="A48" s="46" t="s">
        <v>197</v>
      </c>
      <c r="B48" s="12" t="s">
        <v>202</v>
      </c>
      <c r="C48" s="13" t="s">
        <v>29</v>
      </c>
      <c r="D48" s="3" t="s">
        <v>30</v>
      </c>
      <c r="E48" s="11">
        <v>4231910268</v>
      </c>
      <c r="F48" s="23">
        <f t="shared" si="2"/>
        <v>383125735</v>
      </c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2"/>
      <c r="T48" s="15"/>
      <c r="U48" s="15"/>
      <c r="V48" s="15"/>
      <c r="W48" s="15"/>
      <c r="X48" s="15"/>
      <c r="Y48" s="15"/>
      <c r="Z48" s="15"/>
      <c r="AA48" s="15"/>
      <c r="AB48" s="15">
        <v>383125735</v>
      </c>
      <c r="AC48" s="21"/>
      <c r="AD48" s="21"/>
      <c r="AE48" s="21"/>
      <c r="AF48" s="21"/>
      <c r="AG48" s="21"/>
      <c r="AH48" s="37" t="s">
        <v>201</v>
      </c>
    </row>
    <row r="49" spans="1:34" ht="51" x14ac:dyDescent="0.2">
      <c r="A49" s="57">
        <f>A14+1</f>
        <v>9</v>
      </c>
      <c r="B49" s="12" t="s">
        <v>31</v>
      </c>
      <c r="C49" s="13" t="s">
        <v>29</v>
      </c>
      <c r="D49" s="13" t="s">
        <v>32</v>
      </c>
      <c r="E49" s="11">
        <v>4211670131</v>
      </c>
      <c r="F49" s="23">
        <f t="shared" ref="F49:F56" si="3">SUM(G49:AG49)</f>
        <v>841357410</v>
      </c>
      <c r="G49" s="21"/>
      <c r="H49" s="15"/>
      <c r="I49" s="15"/>
      <c r="J49" s="15"/>
      <c r="K49" s="15"/>
      <c r="L49" s="15"/>
      <c r="M49" s="15"/>
      <c r="N49" s="15"/>
      <c r="O49" s="15">
        <f>120000000*1.04+20000000</f>
        <v>144800000</v>
      </c>
      <c r="P49" s="15"/>
      <c r="Q49" s="15"/>
      <c r="R49" s="15"/>
      <c r="S49" s="15"/>
      <c r="T49" s="15"/>
      <c r="U49" s="15"/>
      <c r="V49" s="15"/>
      <c r="W49" s="15"/>
      <c r="X49" s="15">
        <f>603225000*1.04</f>
        <v>627354000</v>
      </c>
      <c r="Y49" s="15"/>
      <c r="Z49" s="15">
        <v>69203410</v>
      </c>
      <c r="AA49" s="15"/>
      <c r="AB49" s="15"/>
      <c r="AC49" s="15"/>
      <c r="AD49" s="15"/>
      <c r="AE49" s="15"/>
      <c r="AF49" s="15"/>
      <c r="AG49" s="15"/>
      <c r="AH49" s="37" t="s">
        <v>152</v>
      </c>
    </row>
    <row r="50" spans="1:34" ht="38.25" x14ac:dyDescent="0.2">
      <c r="A50" s="57">
        <f t="shared" si="1"/>
        <v>10</v>
      </c>
      <c r="B50" s="12" t="s">
        <v>33</v>
      </c>
      <c r="C50" s="13" t="s">
        <v>29</v>
      </c>
      <c r="D50" s="3" t="s">
        <v>34</v>
      </c>
      <c r="E50" s="11">
        <v>4251800110</v>
      </c>
      <c r="F50" s="23">
        <f t="shared" si="3"/>
        <v>332800000</v>
      </c>
      <c r="G50" s="21"/>
      <c r="H50" s="15"/>
      <c r="I50" s="15"/>
      <c r="J50" s="15"/>
      <c r="K50" s="15"/>
      <c r="L50" s="15"/>
      <c r="M50" s="15"/>
      <c r="N50" s="15"/>
      <c r="O50" s="15">
        <f>320000000*1.04</f>
        <v>332800000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0"/>
    </row>
    <row r="51" spans="1:34" ht="38.25" x14ac:dyDescent="0.2">
      <c r="A51" s="57">
        <f t="shared" si="1"/>
        <v>11</v>
      </c>
      <c r="B51" s="12" t="s">
        <v>35</v>
      </c>
      <c r="C51" s="13" t="s">
        <v>29</v>
      </c>
      <c r="D51" s="3" t="s">
        <v>36</v>
      </c>
      <c r="E51" s="11">
        <v>2141440117</v>
      </c>
      <c r="F51" s="23">
        <f t="shared" si="3"/>
        <v>277918960.5</v>
      </c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>
        <f>1103375842/4+2075000</f>
        <v>277918960.5</v>
      </c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0"/>
    </row>
    <row r="52" spans="1:34" ht="25.5" x14ac:dyDescent="0.2">
      <c r="A52" s="57">
        <f t="shared" si="1"/>
        <v>12</v>
      </c>
      <c r="B52" s="12" t="s">
        <v>37</v>
      </c>
      <c r="C52" s="13" t="s">
        <v>29</v>
      </c>
      <c r="D52" s="3" t="s">
        <v>38</v>
      </c>
      <c r="E52" s="11">
        <v>4211680105</v>
      </c>
      <c r="F52" s="23">
        <f t="shared" si="3"/>
        <v>277918960.5</v>
      </c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>
        <f>1103375842/4+2075000</f>
        <v>277918960.5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0"/>
    </row>
    <row r="53" spans="1:34" ht="63.75" x14ac:dyDescent="0.2">
      <c r="A53" s="57">
        <f t="shared" si="1"/>
        <v>13</v>
      </c>
      <c r="B53" s="17" t="s">
        <v>39</v>
      </c>
      <c r="C53" s="3" t="s">
        <v>16</v>
      </c>
      <c r="D53" s="16" t="s">
        <v>40</v>
      </c>
      <c r="E53" s="11">
        <v>2071110112</v>
      </c>
      <c r="F53" s="23">
        <f t="shared" si="3"/>
        <v>80139259</v>
      </c>
      <c r="G53" s="21"/>
      <c r="H53" s="15"/>
      <c r="I53" s="15"/>
      <c r="J53" s="15"/>
      <c r="K53" s="15"/>
      <c r="L53" s="15"/>
      <c r="M53" s="15">
        <v>50000000</v>
      </c>
      <c r="N53" s="15"/>
      <c r="O53" s="15">
        <v>30000000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>
        <v>1000</v>
      </c>
      <c r="AD53" s="15">
        <v>11000</v>
      </c>
      <c r="AE53" s="15">
        <v>56035</v>
      </c>
      <c r="AF53" s="15">
        <v>71224</v>
      </c>
      <c r="AG53" s="15"/>
      <c r="AH53" s="37" t="s">
        <v>153</v>
      </c>
    </row>
    <row r="54" spans="1:34" ht="38.25" x14ac:dyDescent="0.2">
      <c r="A54" s="57">
        <f t="shared" si="1"/>
        <v>14</v>
      </c>
      <c r="B54" s="12" t="s">
        <v>41</v>
      </c>
      <c r="C54" s="13" t="s">
        <v>16</v>
      </c>
      <c r="D54" s="16" t="s">
        <v>42</v>
      </c>
      <c r="E54" s="11">
        <v>2081161503</v>
      </c>
      <c r="F54" s="23">
        <f t="shared" si="3"/>
        <v>260283103</v>
      </c>
      <c r="G54" s="21"/>
      <c r="H54" s="15"/>
      <c r="I54" s="15"/>
      <c r="J54" s="15"/>
      <c r="K54" s="15"/>
      <c r="L54" s="15"/>
      <c r="M54" s="15"/>
      <c r="N54" s="15"/>
      <c r="O54" s="15">
        <f>100000000*1.04+40000000</f>
        <v>144000000</v>
      </c>
      <c r="P54" s="15"/>
      <c r="Q54" s="15"/>
      <c r="R54" s="15"/>
      <c r="S54" s="15"/>
      <c r="T54" s="15"/>
      <c r="U54" s="15"/>
      <c r="V54" s="15">
        <v>116283103</v>
      </c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7" t="s">
        <v>154</v>
      </c>
    </row>
    <row r="55" spans="1:34" ht="90" x14ac:dyDescent="0.2">
      <c r="A55" s="57">
        <f t="shared" si="1"/>
        <v>15</v>
      </c>
      <c r="B55" s="12" t="s">
        <v>44</v>
      </c>
      <c r="C55" s="13" t="s">
        <v>43</v>
      </c>
      <c r="D55" s="3" t="s">
        <v>45</v>
      </c>
      <c r="E55" s="11">
        <v>3181560110</v>
      </c>
      <c r="F55" s="23">
        <f t="shared" si="3"/>
        <v>1496898791</v>
      </c>
      <c r="G55" s="21"/>
      <c r="H55" s="15"/>
      <c r="I55" s="15"/>
      <c r="J55" s="15"/>
      <c r="K55" s="15"/>
      <c r="L55" s="15"/>
      <c r="M55" s="15"/>
      <c r="N55" s="15"/>
      <c r="O55" s="15">
        <f>420000000*1.04</f>
        <v>436800000</v>
      </c>
      <c r="P55" s="15"/>
      <c r="Q55" s="15"/>
      <c r="R55" s="15"/>
      <c r="S55" s="15">
        <f>1103375842/2+4150000</f>
        <v>555837921</v>
      </c>
      <c r="T55" s="15"/>
      <c r="U55" s="15">
        <v>28093948</v>
      </c>
      <c r="V55" s="15">
        <f>448072974+28093948</f>
        <v>476166922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7" t="s">
        <v>155</v>
      </c>
    </row>
    <row r="56" spans="1:34" ht="33.75" x14ac:dyDescent="0.2">
      <c r="A56" s="57">
        <f t="shared" si="1"/>
        <v>16</v>
      </c>
      <c r="B56" s="12" t="s">
        <v>46</v>
      </c>
      <c r="C56" s="13" t="s">
        <v>43</v>
      </c>
      <c r="D56" s="3" t="s">
        <v>47</v>
      </c>
      <c r="E56" s="11">
        <v>3171540105</v>
      </c>
      <c r="F56" s="23">
        <f t="shared" si="3"/>
        <v>2213404865</v>
      </c>
      <c r="G56" s="22">
        <f>1245296000+5200000</f>
        <v>1250496000</v>
      </c>
      <c r="H56" s="18">
        <v>188215300</v>
      </c>
      <c r="I56" s="15">
        <v>774693565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7" t="s">
        <v>156</v>
      </c>
    </row>
    <row r="57" spans="1:34" ht="101.25" x14ac:dyDescent="0.2">
      <c r="A57" s="57">
        <f t="shared" si="1"/>
        <v>17</v>
      </c>
      <c r="B57" s="12" t="s">
        <v>48</v>
      </c>
      <c r="C57" s="13" t="s">
        <v>43</v>
      </c>
      <c r="D57" s="3" t="s">
        <v>49</v>
      </c>
      <c r="E57" s="11">
        <v>3151650102</v>
      </c>
      <c r="F57" s="23">
        <f>SUM(G57:AG57)</f>
        <v>3141446984</v>
      </c>
      <c r="G57" s="21"/>
      <c r="H57" s="15"/>
      <c r="I57" s="15"/>
      <c r="J57" s="15"/>
      <c r="K57" s="15"/>
      <c r="L57" s="15"/>
      <c r="M57" s="15"/>
      <c r="N57" s="15"/>
      <c r="O57" s="19">
        <f>1000000000*1.04</f>
        <v>1040000000</v>
      </c>
      <c r="P57" s="15"/>
      <c r="Q57" s="15"/>
      <c r="R57" s="15"/>
      <c r="S57" s="15"/>
      <c r="T57" s="15"/>
      <c r="U57" s="15">
        <v>92638260</v>
      </c>
      <c r="V57" s="15">
        <f>1912766866+92638260</f>
        <v>2005405126</v>
      </c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>
        <v>3403598</v>
      </c>
      <c r="AH57" s="37" t="s">
        <v>157</v>
      </c>
    </row>
    <row r="58" spans="1:34" ht="112.5" x14ac:dyDescent="0.2">
      <c r="A58" s="57">
        <f t="shared" si="1"/>
        <v>18</v>
      </c>
      <c r="B58" s="12" t="s">
        <v>50</v>
      </c>
      <c r="C58" s="13" t="s">
        <v>43</v>
      </c>
      <c r="D58" s="3" t="s">
        <v>86</v>
      </c>
      <c r="E58" s="11">
        <v>3161490104</v>
      </c>
      <c r="F58" s="23">
        <f t="shared" ref="F58:F64" si="4">SUM(G58:AG58)</f>
        <v>6013030400</v>
      </c>
      <c r="G58" s="21"/>
      <c r="H58" s="15"/>
      <c r="I58" s="15"/>
      <c r="J58" s="15"/>
      <c r="K58" s="15"/>
      <c r="L58" s="15"/>
      <c r="M58" s="15"/>
      <c r="N58" s="15"/>
      <c r="O58" s="19"/>
      <c r="P58" s="19"/>
      <c r="Q58" s="19"/>
      <c r="R58" s="19"/>
      <c r="S58" s="15"/>
      <c r="T58" s="2"/>
      <c r="U58" s="2"/>
      <c r="V58" s="15">
        <v>2773030400</v>
      </c>
      <c r="W58" s="15">
        <f>1000000000*1.04</f>
        <v>1040000000</v>
      </c>
      <c r="X58" s="15"/>
      <c r="Y58" s="15"/>
      <c r="Z58" s="15"/>
      <c r="AA58" s="15">
        <v>2200000000</v>
      </c>
      <c r="AB58" s="15"/>
      <c r="AC58" s="15"/>
      <c r="AD58" s="15"/>
      <c r="AE58" s="15"/>
      <c r="AF58" s="15"/>
      <c r="AG58" s="15"/>
      <c r="AH58" s="37" t="s">
        <v>158</v>
      </c>
    </row>
    <row r="59" spans="1:34" ht="213.75" x14ac:dyDescent="0.2">
      <c r="A59" s="57">
        <f t="shared" si="1"/>
        <v>19</v>
      </c>
      <c r="B59" s="12" t="s">
        <v>51</v>
      </c>
      <c r="C59" s="13" t="s">
        <v>52</v>
      </c>
      <c r="D59" s="3" t="s">
        <v>53</v>
      </c>
      <c r="E59" s="11">
        <v>1031050113</v>
      </c>
      <c r="F59" s="23">
        <f t="shared" si="4"/>
        <v>7993794470</v>
      </c>
      <c r="G59" s="21"/>
      <c r="H59" s="15"/>
      <c r="I59" s="15"/>
      <c r="J59" s="15"/>
      <c r="K59" s="15"/>
      <c r="L59" s="64"/>
      <c r="M59" s="15">
        <f>600000000+23400000</f>
        <v>623400000</v>
      </c>
      <c r="N59" s="15">
        <v>2560339915</v>
      </c>
      <c r="O59" s="15"/>
      <c r="P59" s="20">
        <v>793238352</v>
      </c>
      <c r="Q59" s="20">
        <v>135635401</v>
      </c>
      <c r="R59" s="15">
        <f>657451818+135635401</f>
        <v>793087219</v>
      </c>
      <c r="S59" s="15"/>
      <c r="T59" s="15">
        <v>185000000</v>
      </c>
      <c r="U59" s="15"/>
      <c r="V59" s="15">
        <v>1863093583</v>
      </c>
      <c r="W59" s="15">
        <f>1000000000*1.04</f>
        <v>1040000000</v>
      </c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7" t="s">
        <v>171</v>
      </c>
    </row>
    <row r="60" spans="1:34" ht="25.5" x14ac:dyDescent="0.2">
      <c r="A60" s="57">
        <f t="shared" si="1"/>
        <v>20</v>
      </c>
      <c r="B60" s="12" t="s">
        <v>54</v>
      </c>
      <c r="C60" s="13" t="s">
        <v>43</v>
      </c>
      <c r="D60" s="3" t="s">
        <v>55</v>
      </c>
      <c r="E60" s="11">
        <v>3201620105</v>
      </c>
      <c r="F60" s="23">
        <f t="shared" si="4"/>
        <v>516000000</v>
      </c>
      <c r="G60" s="21"/>
      <c r="H60" s="15"/>
      <c r="I60" s="15"/>
      <c r="J60" s="15"/>
      <c r="K60" s="15"/>
      <c r="L60" s="15"/>
      <c r="M60" s="15">
        <v>100000000</v>
      </c>
      <c r="N60" s="15"/>
      <c r="O60" s="15">
        <f>400000000*1.04</f>
        <v>416000000</v>
      </c>
      <c r="P60" s="2"/>
      <c r="Q60" s="2"/>
      <c r="R60" s="2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29"/>
    </row>
    <row r="61" spans="1:34" ht="25.5" x14ac:dyDescent="0.2">
      <c r="A61" s="57">
        <f t="shared" si="1"/>
        <v>21</v>
      </c>
      <c r="B61" s="12" t="s">
        <v>56</v>
      </c>
      <c r="C61" s="13" t="s">
        <v>43</v>
      </c>
      <c r="D61" s="3" t="s">
        <v>55</v>
      </c>
      <c r="E61" s="11">
        <v>3201620106</v>
      </c>
      <c r="F61" s="23">
        <f t="shared" si="4"/>
        <v>50000000</v>
      </c>
      <c r="G61" s="21"/>
      <c r="H61" s="15"/>
      <c r="I61" s="15"/>
      <c r="J61" s="15"/>
      <c r="K61" s="15"/>
      <c r="L61" s="15"/>
      <c r="M61" s="15"/>
      <c r="N61" s="15"/>
      <c r="O61" s="15">
        <v>50000000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0"/>
    </row>
    <row r="62" spans="1:34" ht="45" x14ac:dyDescent="0.2">
      <c r="A62" s="57">
        <f t="shared" si="1"/>
        <v>22</v>
      </c>
      <c r="B62" s="12" t="s">
        <v>57</v>
      </c>
      <c r="C62" s="13" t="s">
        <v>52</v>
      </c>
      <c r="D62" s="3" t="s">
        <v>53</v>
      </c>
      <c r="E62" s="11">
        <v>1031050114</v>
      </c>
      <c r="F62" s="23">
        <f t="shared" si="4"/>
        <v>120763200</v>
      </c>
      <c r="G62" s="21"/>
      <c r="H62" s="15"/>
      <c r="I62" s="15"/>
      <c r="J62" s="15"/>
      <c r="K62" s="15"/>
      <c r="L62" s="15"/>
      <c r="M62" s="15"/>
      <c r="N62" s="15"/>
      <c r="O62" s="15">
        <f>180000000-59236800</f>
        <v>120763200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7" t="s">
        <v>100</v>
      </c>
    </row>
    <row r="63" spans="1:34" ht="56.25" x14ac:dyDescent="0.2">
      <c r="A63" s="57">
        <f t="shared" si="1"/>
        <v>23</v>
      </c>
      <c r="B63" s="12" t="s">
        <v>97</v>
      </c>
      <c r="C63" s="13" t="s">
        <v>98</v>
      </c>
      <c r="D63" s="3" t="s">
        <v>99</v>
      </c>
      <c r="E63" s="3">
        <v>1021030101</v>
      </c>
      <c r="F63" s="23">
        <f t="shared" si="4"/>
        <v>59236800</v>
      </c>
      <c r="G63" s="21"/>
      <c r="H63" s="15"/>
      <c r="I63" s="15"/>
      <c r="J63" s="15"/>
      <c r="K63" s="15"/>
      <c r="L63" s="15"/>
      <c r="M63" s="15"/>
      <c r="N63" s="15"/>
      <c r="O63" s="15">
        <v>59236800</v>
      </c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7" t="s">
        <v>101</v>
      </c>
    </row>
    <row r="64" spans="1:34" ht="39" thickBot="1" x14ac:dyDescent="0.25">
      <c r="A64" s="58">
        <f>A63+1</f>
        <v>24</v>
      </c>
      <c r="B64" s="59" t="s">
        <v>125</v>
      </c>
      <c r="C64" s="60" t="s">
        <v>126</v>
      </c>
      <c r="D64" s="61" t="s">
        <v>127</v>
      </c>
      <c r="E64" s="62">
        <v>1021040101</v>
      </c>
      <c r="F64" s="63">
        <f t="shared" si="4"/>
        <v>37000000</v>
      </c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25">
        <v>37000000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7" t="s">
        <v>159</v>
      </c>
    </row>
    <row r="65" spans="1:34" ht="15.75" customHeight="1" thickBot="1" x14ac:dyDescent="0.25">
      <c r="A65" s="67" t="s">
        <v>128</v>
      </c>
      <c r="B65" s="68"/>
      <c r="C65" s="68"/>
      <c r="D65" s="68"/>
      <c r="E65" s="69"/>
      <c r="F65" s="50">
        <f>SUM(F7:F64)</f>
        <v>94080323653</v>
      </c>
      <c r="G65" s="31">
        <f>SUM(G7:G64)</f>
        <v>1250496000</v>
      </c>
      <c r="H65" s="31">
        <f t="shared" ref="H65:AD65" si="5">SUM(H7:H64)</f>
        <v>188215300</v>
      </c>
      <c r="I65" s="48">
        <f t="shared" si="5"/>
        <v>774693565</v>
      </c>
      <c r="J65" s="48">
        <f t="shared" si="5"/>
        <v>23278110902</v>
      </c>
      <c r="K65" s="48">
        <f>SUM(K7:K64)</f>
        <v>17116454402</v>
      </c>
      <c r="L65" s="48">
        <f>SUM(L7:L64)</f>
        <v>2357784000</v>
      </c>
      <c r="M65" s="48">
        <f t="shared" si="5"/>
        <v>773400000</v>
      </c>
      <c r="N65" s="48">
        <f t="shared" si="5"/>
        <v>2560339915</v>
      </c>
      <c r="O65" s="48">
        <f t="shared" si="5"/>
        <v>3714980000</v>
      </c>
      <c r="P65" s="48">
        <f t="shared" si="5"/>
        <v>923238352</v>
      </c>
      <c r="Q65" s="48">
        <f t="shared" si="5"/>
        <v>135635401</v>
      </c>
      <c r="R65" s="48">
        <f t="shared" si="5"/>
        <v>830087219</v>
      </c>
      <c r="S65" s="48">
        <f t="shared" si="5"/>
        <v>1111675842</v>
      </c>
      <c r="T65" s="48">
        <f t="shared" si="5"/>
        <v>185000000</v>
      </c>
      <c r="U65" s="90">
        <f t="shared" si="5"/>
        <v>127854358</v>
      </c>
      <c r="V65" s="48">
        <f t="shared" si="5"/>
        <v>9007195957</v>
      </c>
      <c r="W65" s="48">
        <f t="shared" si="5"/>
        <v>3120000000</v>
      </c>
      <c r="X65" s="48">
        <f t="shared" si="5"/>
        <v>1254708000</v>
      </c>
      <c r="Y65" s="48">
        <f t="shared" si="5"/>
        <v>618719</v>
      </c>
      <c r="Z65" s="48">
        <f>SUM(Z7:Z64)</f>
        <v>688704754</v>
      </c>
      <c r="AA65" s="48">
        <f t="shared" si="5"/>
        <v>2200000000</v>
      </c>
      <c r="AB65" s="48">
        <f t="shared" si="5"/>
        <v>22477588110</v>
      </c>
      <c r="AC65" s="48">
        <f t="shared" si="5"/>
        <v>1000</v>
      </c>
      <c r="AD65" s="48">
        <f t="shared" si="5"/>
        <v>11000</v>
      </c>
      <c r="AE65" s="48">
        <f>SUM(AE7:AE64)</f>
        <v>56035</v>
      </c>
      <c r="AF65" s="48">
        <f t="shared" ref="AF65:AG65" si="6">SUM(AF7:AF64)</f>
        <v>71224</v>
      </c>
      <c r="AG65" s="48">
        <f t="shared" si="6"/>
        <v>3403598</v>
      </c>
      <c r="AH65" s="32"/>
    </row>
    <row r="67" spans="1:34" ht="15" x14ac:dyDescent="0.25">
      <c r="F67" s="33"/>
      <c r="O67" s="5"/>
    </row>
    <row r="68" spans="1:34" x14ac:dyDescent="0.2">
      <c r="F68" s="4"/>
      <c r="U68" s="39"/>
      <c r="V68" s="39"/>
      <c r="W68" s="40"/>
      <c r="AH68" s="5"/>
    </row>
  </sheetData>
  <autoFilter ref="A6:AN65"/>
  <mergeCells count="12">
    <mergeCell ref="A65:E65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8" fitToHeight="2" orientation="landscape" r:id="rId1"/>
  <rowBreaks count="1" manualBreakCount="1">
    <brk id="31" max="33" man="1"/>
  </rowBreaks>
  <ignoredErrors>
    <ignoredError sqref="F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2019-08-05T20:53:48Z</cp:lastPrinted>
  <dcterms:created xsi:type="dcterms:W3CDTF">2015-02-11T19:15:54Z</dcterms:created>
  <dcterms:modified xsi:type="dcterms:W3CDTF">2019-08-15T00:25:45Z</dcterms:modified>
</cp:coreProperties>
</file>